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defaultThemeVersion="166925"/>
  <mc:AlternateContent xmlns:mc="http://schemas.openxmlformats.org/markup-compatibility/2006">
    <mc:Choice Requires="x15">
      <x15ac:absPath xmlns:x15ac="http://schemas.microsoft.com/office/spreadsheetml/2010/11/ac" url="https://offrailroad-my.sharepoint.com/personal/paula_angeriz-santos_orr_gov_uk/Documents/Desktop/Website/UPLOADS of MEDIA ENTITIES/NH regional dashboards 2023/"/>
    </mc:Choice>
  </mc:AlternateContent>
  <xr:revisionPtr revIDLastSave="1431" documentId="13_ncr:1_{5A097704-9AA8-4253-B1E9-58BEFBFA012B}" xr6:coauthVersionLast="47" xr6:coauthVersionMax="47" xr10:uidLastSave="{3BB270DD-92F9-4B0E-B186-28EECDAFA3D7}"/>
  <workbookProtection workbookAlgorithmName="SHA-512" workbookHashValue="9ni38sEW/u2L3akds8BHXI7Hwd60byz2knbXSDlD9S/dRDRN3n5gZQUeXzGcIoTDWy5JX1QSNcW/IEdKulKQeQ==" workbookSaltValue="38iB/iDHsG2/fqKHWYs3SA==" workbookSpinCount="100000" lockStructure="1"/>
  <bookViews>
    <workbookView xWindow="28680" yWindow="-120" windowWidth="29040" windowHeight="15990" firstSheet="3" activeTab="3" xr2:uid="{6DE37243-59EC-4F79-869E-E7D6982C12D8}"/>
  </bookViews>
  <sheets>
    <sheet name="Cover_sheet" sheetId="4" r:id="rId1"/>
    <sheet name="Notes" sheetId="26" r:id="rId2"/>
    <sheet name="Table_of_contents" sheetId="12" r:id="rId3"/>
    <sheet name="Dashboard" sheetId="41" r:id="rId4"/>
    <sheet name="Table_1a" sheetId="6" r:id="rId5"/>
    <sheet name="Table_1b" sheetId="7" r:id="rId6"/>
    <sheet name="Table_1c" sheetId="8" r:id="rId7"/>
    <sheet name="Table_1d" sheetId="22" r:id="rId8"/>
    <sheet name="Table_1e" sheetId="23" r:id="rId9"/>
    <sheet name="Table_1f" sheetId="21" r:id="rId10"/>
    <sheet name="Table_1g" sheetId="24" r:id="rId11"/>
    <sheet name="Table_1h" sheetId="16" r:id="rId12"/>
    <sheet name="Table_1i" sheetId="17" r:id="rId13"/>
    <sheet name="Table_1j" sheetId="18" r:id="rId14"/>
    <sheet name="Table_1k" sheetId="25" r:id="rId15"/>
    <sheet name="workings" sheetId="40" state="veryHidden" r:id="rId16"/>
    <sheet name="Data" sheetId="27" state="veryHidden" r:id="rId17"/>
  </sheets>
  <definedNames>
    <definedName name="Slicer_KPI1">#N/A</definedName>
    <definedName name="Slicer_Year1">#N/A</definedName>
  </definedNames>
  <calcPr calcId="191028"/>
  <pivotCaches>
    <pivotCache cacheId="4" r:id="rId18"/>
  </pivotCaches>
  <extLst>
    <ext xmlns:x14="http://schemas.microsoft.com/office/spreadsheetml/2009/9/main" uri="{BBE1A952-AA13-448e-AADC-164F8A28A991}">
      <x14:slicerCaches>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27" l="1"/>
  <c r="A27" i="40"/>
  <c r="L18" i="41" s="1"/>
  <c r="A26" i="40"/>
  <c r="A78" i="40"/>
  <c r="A63" i="27" l="1"/>
  <c r="B63" i="27"/>
  <c r="E63" i="27" s="1"/>
  <c r="A60" i="27"/>
  <c r="B60" i="27"/>
  <c r="F60" i="27" s="1"/>
  <c r="A57" i="27"/>
  <c r="B57" i="27"/>
  <c r="F57" i="27" s="1"/>
  <c r="A54" i="27"/>
  <c r="B54" i="27"/>
  <c r="E54" i="27" s="1"/>
  <c r="A51" i="27"/>
  <c r="B51" i="27"/>
  <c r="E51" i="27" s="1"/>
  <c r="C51" i="27"/>
  <c r="F51" i="27"/>
  <c r="H51" i="27"/>
  <c r="I51" i="27"/>
  <c r="J51" i="27"/>
  <c r="K51" i="27"/>
  <c r="A44" i="27"/>
  <c r="B44" i="27"/>
  <c r="E44" i="27" s="1"/>
  <c r="A37" i="27"/>
  <c r="B37" i="27"/>
  <c r="C37" i="27" s="1"/>
  <c r="A30" i="27"/>
  <c r="B30" i="27"/>
  <c r="E30" i="27" s="1"/>
  <c r="A23" i="27"/>
  <c r="B23" i="27"/>
  <c r="C23" i="27" s="1"/>
  <c r="A16" i="27"/>
  <c r="B16" i="27"/>
  <c r="I16" i="27" s="1"/>
  <c r="B9" i="27"/>
  <c r="E9" i="27" s="1"/>
  <c r="A9" i="27"/>
  <c r="A28" i="40"/>
  <c r="U8" i="41" s="1"/>
  <c r="K63" i="27" l="1"/>
  <c r="I63" i="27"/>
  <c r="J63" i="27"/>
  <c r="H23" i="27"/>
  <c r="G23" i="27"/>
  <c r="F23" i="27"/>
  <c r="E23" i="27"/>
  <c r="I23" i="27"/>
  <c r="K23" i="27"/>
  <c r="J23" i="27"/>
  <c r="E16" i="27"/>
  <c r="H16" i="27"/>
  <c r="G16" i="27"/>
  <c r="F16" i="27"/>
  <c r="C16" i="27"/>
  <c r="K16" i="27"/>
  <c r="J16" i="27"/>
  <c r="G63" i="27"/>
  <c r="F63" i="27"/>
  <c r="H63" i="27"/>
  <c r="E60" i="27"/>
  <c r="J60" i="27"/>
  <c r="I60" i="27"/>
  <c r="K60" i="27"/>
  <c r="H60" i="27"/>
  <c r="G60" i="27"/>
  <c r="K57" i="27"/>
  <c r="J57" i="27"/>
  <c r="I57" i="27"/>
  <c r="H57" i="27"/>
  <c r="E57" i="27"/>
  <c r="G57" i="27"/>
  <c r="H54" i="27"/>
  <c r="C54" i="27"/>
  <c r="K54" i="27"/>
  <c r="J54" i="27"/>
  <c r="G54" i="27"/>
  <c r="I54" i="27"/>
  <c r="F54" i="27"/>
  <c r="G51" i="27"/>
  <c r="J44" i="27"/>
  <c r="I44" i="27"/>
  <c r="H44" i="27"/>
  <c r="G44" i="27"/>
  <c r="C44" i="27"/>
  <c r="K44" i="27"/>
  <c r="F44" i="27"/>
  <c r="I37" i="27"/>
  <c r="H37" i="27"/>
  <c r="F37" i="27"/>
  <c r="G37" i="27"/>
  <c r="E37" i="27"/>
  <c r="K37" i="27"/>
  <c r="J37" i="27"/>
  <c r="J30" i="27"/>
  <c r="I30" i="27"/>
  <c r="H30" i="27"/>
  <c r="G30" i="27"/>
  <c r="C30" i="27"/>
  <c r="K30" i="27"/>
  <c r="F30" i="27"/>
  <c r="K9" i="27"/>
  <c r="J9" i="27"/>
  <c r="I9" i="27"/>
  <c r="H9" i="27"/>
  <c r="C9" i="27"/>
  <c r="G9" i="27"/>
  <c r="F9" i="27"/>
  <c r="A25" i="40"/>
  <c r="A23" i="40"/>
  <c r="A3" i="27" l="1"/>
  <c r="L16" i="41" l="1"/>
  <c r="A24" i="40"/>
  <c r="L17" i="41" s="1"/>
  <c r="A59" i="40" l="1"/>
  <c r="R68" i="40" s="1"/>
  <c r="B52" i="27"/>
  <c r="F52" i="27" s="1"/>
  <c r="A52" i="27"/>
  <c r="A62" i="27"/>
  <c r="A61" i="27"/>
  <c r="A59" i="27"/>
  <c r="A58" i="27"/>
  <c r="A56" i="27"/>
  <c r="A55" i="27"/>
  <c r="A53" i="27"/>
  <c r="A46" i="27"/>
  <c r="A47" i="27"/>
  <c r="A48" i="27"/>
  <c r="A49" i="27"/>
  <c r="A50" i="27"/>
  <c r="A45" i="27"/>
  <c r="A39" i="27"/>
  <c r="A40" i="27"/>
  <c r="A41" i="27"/>
  <c r="A42" i="27"/>
  <c r="A43" i="27"/>
  <c r="A38" i="27"/>
  <c r="A32" i="27"/>
  <c r="A33" i="27"/>
  <c r="A34" i="27"/>
  <c r="A35" i="27"/>
  <c r="A36" i="27"/>
  <c r="A31" i="27"/>
  <c r="A25" i="27"/>
  <c r="A26" i="27"/>
  <c r="A27" i="27"/>
  <c r="A28" i="27"/>
  <c r="A29" i="27"/>
  <c r="A24" i="27"/>
  <c r="A18" i="27"/>
  <c r="A19" i="27"/>
  <c r="A20" i="27"/>
  <c r="A21" i="27"/>
  <c r="A22" i="27"/>
  <c r="A17" i="27"/>
  <c r="A15" i="27"/>
  <c r="A11" i="27"/>
  <c r="A12" i="27"/>
  <c r="A13" i="27"/>
  <c r="A14" i="27"/>
  <c r="A10" i="27"/>
  <c r="A4" i="27"/>
  <c r="A5" i="27"/>
  <c r="A6" i="27"/>
  <c r="A7" i="27"/>
  <c r="A8" i="27"/>
  <c r="B56" i="27"/>
  <c r="H56" i="27" s="1"/>
  <c r="B55" i="27"/>
  <c r="J55" i="27" s="1"/>
  <c r="T68" i="40" l="1"/>
  <c r="T69" i="40"/>
  <c r="C59" i="40"/>
  <c r="H59" i="40"/>
  <c r="I68" i="40"/>
  <c r="R69" i="40"/>
  <c r="M68" i="40"/>
  <c r="M69" i="40"/>
  <c r="I69" i="40"/>
  <c r="G59" i="40"/>
  <c r="F59" i="40"/>
  <c r="D59" i="40"/>
  <c r="I55" i="27"/>
  <c r="H55" i="27"/>
  <c r="G56" i="27"/>
  <c r="K52" i="27"/>
  <c r="C52" i="27"/>
  <c r="E59" i="40"/>
  <c r="B59" i="40"/>
  <c r="J52" i="27"/>
  <c r="G55" i="27"/>
  <c r="E56" i="27"/>
  <c r="F56" i="27"/>
  <c r="I52" i="27"/>
  <c r="F55" i="27"/>
  <c r="E55" i="27"/>
  <c r="H52" i="27"/>
  <c r="K56" i="27"/>
  <c r="G52" i="27"/>
  <c r="E52" i="27"/>
  <c r="J56" i="27"/>
  <c r="K55" i="27"/>
  <c r="I56" i="27"/>
  <c r="A29" i="40" l="1"/>
  <c r="L10" i="41" s="1"/>
  <c r="A30" i="40"/>
  <c r="L12" i="41" s="1"/>
  <c r="B62" i="40"/>
  <c r="B65" i="40" s="1"/>
  <c r="B62" i="27"/>
  <c r="B61" i="27"/>
  <c r="B58" i="27"/>
  <c r="B59" i="27"/>
  <c r="B53" i="27"/>
  <c r="B46" i="27"/>
  <c r="B47" i="27"/>
  <c r="B48" i="27"/>
  <c r="B49" i="27"/>
  <c r="B50" i="27"/>
  <c r="B45" i="27"/>
  <c r="B39" i="27"/>
  <c r="B40" i="27"/>
  <c r="B41" i="27"/>
  <c r="B42" i="27"/>
  <c r="B43" i="27"/>
  <c r="B38" i="27"/>
  <c r="B32" i="27"/>
  <c r="B33" i="27"/>
  <c r="B34" i="27"/>
  <c r="B35" i="27"/>
  <c r="B36" i="27"/>
  <c r="B31" i="27"/>
  <c r="B25" i="27"/>
  <c r="B26" i="27"/>
  <c r="B27" i="27"/>
  <c r="B28" i="27"/>
  <c r="B29" i="27"/>
  <c r="B24" i="27"/>
  <c r="B18" i="27"/>
  <c r="B19" i="27"/>
  <c r="B20" i="27"/>
  <c r="B21" i="27"/>
  <c r="B22" i="27"/>
  <c r="B17" i="27"/>
  <c r="B11" i="27"/>
  <c r="B12" i="27"/>
  <c r="B13" i="27"/>
  <c r="B14" i="27"/>
  <c r="B15" i="27"/>
  <c r="B10" i="27"/>
  <c r="B4" i="27"/>
  <c r="B5" i="27"/>
  <c r="E5" i="27" s="1"/>
  <c r="B6" i="27"/>
  <c r="B7" i="27"/>
  <c r="F7" i="27" s="1"/>
  <c r="B8" i="27"/>
  <c r="B3" i="27"/>
  <c r="C3" i="27" l="1"/>
  <c r="F3" i="27"/>
  <c r="E62" i="40"/>
  <c r="I62" i="40" s="1"/>
  <c r="K62" i="40" s="1"/>
  <c r="B63" i="40"/>
  <c r="B69" i="40"/>
  <c r="E65" i="40"/>
  <c r="F65" i="40" s="1"/>
  <c r="K53" i="27"/>
  <c r="E53" i="27"/>
  <c r="I53" i="27"/>
  <c r="J53" i="27"/>
  <c r="F53" i="27"/>
  <c r="G53" i="27"/>
  <c r="H53" i="27"/>
  <c r="I59" i="27"/>
  <c r="G59" i="27"/>
  <c r="J59" i="27"/>
  <c r="E59" i="27"/>
  <c r="K59" i="27"/>
  <c r="H59" i="27"/>
  <c r="F59" i="27"/>
  <c r="G58" i="27"/>
  <c r="F58" i="27"/>
  <c r="H58" i="27"/>
  <c r="I58" i="27"/>
  <c r="J58" i="27"/>
  <c r="E58" i="27"/>
  <c r="K58" i="27"/>
  <c r="F61" i="27"/>
  <c r="G61" i="27"/>
  <c r="H61" i="27"/>
  <c r="I61" i="27"/>
  <c r="J61" i="27"/>
  <c r="K61" i="27"/>
  <c r="E61" i="27"/>
  <c r="H62" i="27"/>
  <c r="I62" i="27"/>
  <c r="J62" i="27"/>
  <c r="G62" i="27"/>
  <c r="K62" i="27"/>
  <c r="E62" i="27"/>
  <c r="F62" i="27"/>
  <c r="K13" i="27"/>
  <c r="F13" i="27"/>
  <c r="G13" i="27"/>
  <c r="J13" i="27"/>
  <c r="H13" i="27"/>
  <c r="I13" i="27"/>
  <c r="E13" i="27"/>
  <c r="K41" i="27"/>
  <c r="F41" i="27"/>
  <c r="G41" i="27"/>
  <c r="J41" i="27"/>
  <c r="E41" i="27"/>
  <c r="H41" i="27"/>
  <c r="I41" i="27"/>
  <c r="E7" i="27"/>
  <c r="G7" i="27"/>
  <c r="H7" i="27"/>
  <c r="I7" i="27"/>
  <c r="J7" i="27"/>
  <c r="K7" i="27"/>
  <c r="K29" i="27"/>
  <c r="J29" i="27"/>
  <c r="F29" i="27"/>
  <c r="G29" i="27"/>
  <c r="H29" i="27"/>
  <c r="E29" i="27"/>
  <c r="I29" i="27"/>
  <c r="G39" i="27"/>
  <c r="H39" i="27"/>
  <c r="I39" i="27"/>
  <c r="J39" i="27"/>
  <c r="F39" i="27"/>
  <c r="K39" i="27"/>
  <c r="E39" i="27"/>
  <c r="I5" i="27"/>
  <c r="J5" i="27"/>
  <c r="K5" i="27"/>
  <c r="F5" i="27"/>
  <c r="H5" i="27"/>
  <c r="G5" i="27"/>
  <c r="G17" i="27"/>
  <c r="E17" i="27"/>
  <c r="H17" i="27"/>
  <c r="I17" i="27"/>
  <c r="J17" i="27"/>
  <c r="K17" i="27"/>
  <c r="F17" i="27"/>
  <c r="I28" i="27"/>
  <c r="J28" i="27"/>
  <c r="H28" i="27"/>
  <c r="K28" i="27"/>
  <c r="E28" i="27"/>
  <c r="F28" i="27"/>
  <c r="G28" i="27"/>
  <c r="G33" i="27"/>
  <c r="E33" i="27"/>
  <c r="H33" i="27"/>
  <c r="I33" i="27"/>
  <c r="J33" i="27"/>
  <c r="K33" i="27"/>
  <c r="F33" i="27"/>
  <c r="G45" i="27"/>
  <c r="E45" i="27"/>
  <c r="H45" i="27"/>
  <c r="I45" i="27"/>
  <c r="J45" i="27"/>
  <c r="K45" i="27"/>
  <c r="F45" i="27"/>
  <c r="G8" i="27"/>
  <c r="H8" i="27"/>
  <c r="E8" i="27"/>
  <c r="I8" i="27"/>
  <c r="J8" i="27"/>
  <c r="K8" i="27"/>
  <c r="F8" i="27"/>
  <c r="I18" i="27"/>
  <c r="J18" i="27"/>
  <c r="K18" i="27"/>
  <c r="E18" i="27"/>
  <c r="F18" i="27"/>
  <c r="H18" i="27"/>
  <c r="G18" i="27"/>
  <c r="I12" i="27"/>
  <c r="J12" i="27"/>
  <c r="K12" i="27"/>
  <c r="F12" i="27"/>
  <c r="E12" i="27"/>
  <c r="H12" i="27"/>
  <c r="G12" i="27"/>
  <c r="K35" i="27"/>
  <c r="E35" i="27"/>
  <c r="F35" i="27"/>
  <c r="G35" i="27"/>
  <c r="J35" i="27"/>
  <c r="H35" i="27"/>
  <c r="I35" i="27"/>
  <c r="K6" i="27"/>
  <c r="E6" i="27"/>
  <c r="F6" i="27"/>
  <c r="G6" i="27"/>
  <c r="J6" i="27"/>
  <c r="H6" i="27"/>
  <c r="I6" i="27"/>
  <c r="I34" i="27"/>
  <c r="H34" i="27"/>
  <c r="J34" i="27"/>
  <c r="E34" i="27"/>
  <c r="K34" i="27"/>
  <c r="F34" i="27"/>
  <c r="G34" i="27"/>
  <c r="G4" i="27"/>
  <c r="H4" i="27"/>
  <c r="I4" i="27"/>
  <c r="J4" i="27"/>
  <c r="F4" i="27"/>
  <c r="K4" i="27"/>
  <c r="E4" i="27"/>
  <c r="I22" i="27"/>
  <c r="H22" i="27"/>
  <c r="J22" i="27"/>
  <c r="K22" i="27"/>
  <c r="F22" i="27"/>
  <c r="G22" i="27"/>
  <c r="E22" i="27"/>
  <c r="G27" i="27"/>
  <c r="H27" i="27"/>
  <c r="I27" i="27"/>
  <c r="F27" i="27"/>
  <c r="J27" i="27"/>
  <c r="E27" i="27"/>
  <c r="K27" i="27"/>
  <c r="E32" i="27"/>
  <c r="F32" i="27"/>
  <c r="G32" i="27"/>
  <c r="H32" i="27"/>
  <c r="I32" i="27"/>
  <c r="J32" i="27"/>
  <c r="K32" i="27"/>
  <c r="I50" i="27"/>
  <c r="E50" i="27"/>
  <c r="J50" i="27"/>
  <c r="K50" i="27"/>
  <c r="H50" i="27"/>
  <c r="F50" i="27"/>
  <c r="G50" i="27"/>
  <c r="E10" i="27"/>
  <c r="F10" i="27"/>
  <c r="G10" i="27"/>
  <c r="H10" i="27"/>
  <c r="I10" i="27"/>
  <c r="J10" i="27"/>
  <c r="K10" i="27"/>
  <c r="G21" i="27"/>
  <c r="H21" i="27"/>
  <c r="I21" i="27"/>
  <c r="J21" i="27"/>
  <c r="K21" i="27"/>
  <c r="F21" i="27"/>
  <c r="E21" i="27"/>
  <c r="F26" i="27"/>
  <c r="G26" i="27"/>
  <c r="E26" i="27"/>
  <c r="H26" i="27"/>
  <c r="I26" i="27"/>
  <c r="J26" i="27"/>
  <c r="K26" i="27"/>
  <c r="F38" i="27"/>
  <c r="G38" i="27"/>
  <c r="E38" i="27"/>
  <c r="H38" i="27"/>
  <c r="I38" i="27"/>
  <c r="J38" i="27"/>
  <c r="K38" i="27"/>
  <c r="G49" i="27"/>
  <c r="H49" i="27"/>
  <c r="I49" i="27"/>
  <c r="J49" i="27"/>
  <c r="K49" i="27"/>
  <c r="E49" i="27"/>
  <c r="F49" i="27"/>
  <c r="I15" i="27"/>
  <c r="F15" i="27"/>
  <c r="J15" i="27"/>
  <c r="K15" i="27"/>
  <c r="H15" i="27"/>
  <c r="E15" i="27"/>
  <c r="G15" i="27"/>
  <c r="F20" i="27"/>
  <c r="G20" i="27"/>
  <c r="H20" i="27"/>
  <c r="I20" i="27"/>
  <c r="J20" i="27"/>
  <c r="E20" i="27"/>
  <c r="K20" i="27"/>
  <c r="K25" i="27"/>
  <c r="E25" i="27"/>
  <c r="F25" i="27"/>
  <c r="G25" i="27"/>
  <c r="J25" i="27"/>
  <c r="H25" i="27"/>
  <c r="I25" i="27"/>
  <c r="G43" i="27"/>
  <c r="F43" i="27"/>
  <c r="H43" i="27"/>
  <c r="E43" i="27"/>
  <c r="I43" i="27"/>
  <c r="J43" i="27"/>
  <c r="K43" i="27"/>
  <c r="F48" i="27"/>
  <c r="G48" i="27"/>
  <c r="H48" i="27"/>
  <c r="I48" i="27"/>
  <c r="J48" i="27"/>
  <c r="E48" i="27"/>
  <c r="K48" i="27"/>
  <c r="F36" i="27"/>
  <c r="G36" i="27"/>
  <c r="H36" i="27"/>
  <c r="E36" i="27"/>
  <c r="I36" i="27"/>
  <c r="J36" i="27"/>
  <c r="K36" i="27"/>
  <c r="I46" i="27"/>
  <c r="J46" i="27"/>
  <c r="H46" i="27"/>
  <c r="K46" i="27"/>
  <c r="E46" i="27"/>
  <c r="F46" i="27"/>
  <c r="G46" i="27"/>
  <c r="I24" i="27"/>
  <c r="J24" i="27"/>
  <c r="K24" i="27"/>
  <c r="F24" i="27"/>
  <c r="G24" i="27"/>
  <c r="E24" i="27"/>
  <c r="H24" i="27"/>
  <c r="I40" i="27"/>
  <c r="H40" i="27"/>
  <c r="J40" i="27"/>
  <c r="K40" i="27"/>
  <c r="F40" i="27"/>
  <c r="G40" i="27"/>
  <c r="E40" i="27"/>
  <c r="G11" i="27"/>
  <c r="H11" i="27"/>
  <c r="I11" i="27"/>
  <c r="J11" i="27"/>
  <c r="K11" i="27"/>
  <c r="E11" i="27"/>
  <c r="G3" i="27"/>
  <c r="E3" i="27"/>
  <c r="H3" i="27"/>
  <c r="I3" i="27"/>
  <c r="J3" i="27"/>
  <c r="K3" i="27"/>
  <c r="G14" i="27"/>
  <c r="F14" i="27"/>
  <c r="H14" i="27"/>
  <c r="I14" i="27"/>
  <c r="J14" i="27"/>
  <c r="K14" i="27"/>
  <c r="E14" i="27"/>
  <c r="K19" i="27"/>
  <c r="F19" i="27"/>
  <c r="J19" i="27"/>
  <c r="G19" i="27"/>
  <c r="E19" i="27"/>
  <c r="H19" i="27"/>
  <c r="I19" i="27"/>
  <c r="K31" i="27"/>
  <c r="J31" i="27"/>
  <c r="F31" i="27"/>
  <c r="G31" i="27"/>
  <c r="E31" i="27"/>
  <c r="H31" i="27"/>
  <c r="I31" i="27"/>
  <c r="E42" i="27"/>
  <c r="F42" i="27"/>
  <c r="G42" i="27"/>
  <c r="H42" i="27"/>
  <c r="I42" i="27"/>
  <c r="J42" i="27"/>
  <c r="K42" i="27"/>
  <c r="K47" i="27"/>
  <c r="J47" i="27"/>
  <c r="F47" i="27"/>
  <c r="G47" i="27"/>
  <c r="E47" i="27"/>
  <c r="H47" i="27"/>
  <c r="I47" i="27"/>
  <c r="C38" i="27"/>
  <c r="C15" i="27"/>
  <c r="C20" i="27"/>
  <c r="C4" i="27"/>
  <c r="C14" i="27"/>
  <c r="C13" i="27"/>
  <c r="C18" i="27"/>
  <c r="C41" i="27"/>
  <c r="C46" i="27"/>
  <c r="C19" i="27"/>
  <c r="C7" i="27"/>
  <c r="C42" i="27"/>
  <c r="C6" i="27"/>
  <c r="C11" i="27"/>
  <c r="C29" i="27"/>
  <c r="C5" i="27"/>
  <c r="C53" i="27"/>
  <c r="C10" i="27"/>
  <c r="C43" i="27"/>
  <c r="C21" i="27"/>
  <c r="C49" i="27"/>
  <c r="C17" i="27"/>
  <c r="C35" i="27"/>
  <c r="C33" i="27"/>
  <c r="C28" i="27"/>
  <c r="C50" i="27"/>
  <c r="C12" i="27"/>
  <c r="C27" i="27"/>
  <c r="C32" i="27"/>
  <c r="C40" i="27"/>
  <c r="C31" i="27"/>
  <c r="C48" i="27"/>
  <c r="C25" i="27"/>
  <c r="C47" i="27"/>
  <c r="C26" i="27"/>
  <c r="C39" i="27"/>
  <c r="C8" i="27"/>
  <c r="C24" i="27"/>
  <c r="C22" i="27"/>
  <c r="C36" i="27"/>
  <c r="C45" i="27"/>
  <c r="C34" i="27"/>
  <c r="E63" i="40" l="1"/>
  <c r="I63" i="40" s="1"/>
  <c r="K63" i="40" s="1"/>
  <c r="B66" i="40"/>
  <c r="B68" i="40" s="1"/>
  <c r="F62" i="40"/>
  <c r="E66" i="40"/>
  <c r="I66" i="40" s="1"/>
  <c r="Q12" i="41"/>
  <c r="F69" i="40"/>
  <c r="I65" i="40"/>
  <c r="F63" i="40" l="1"/>
  <c r="A76" i="40" s="1"/>
  <c r="A74" i="40"/>
  <c r="F66" i="40"/>
  <c r="A73" i="40" s="1"/>
  <c r="F68" i="40"/>
  <c r="Q10" i="41"/>
  <c r="A72" i="40" l="1"/>
  <c r="A75" i="40"/>
  <c r="A71" i="40" l="1"/>
  <c r="L13" i="41" s="1"/>
</calcChain>
</file>

<file path=xl/sharedStrings.xml><?xml version="1.0" encoding="utf-8"?>
<sst xmlns="http://schemas.openxmlformats.org/spreadsheetml/2006/main" count="478" uniqueCount="199">
  <si>
    <t>Table 1: Improving safety for all, England, January 2015 to December 2023</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</si>
  <si>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
    </r>
    <r>
      <rPr>
        <sz val="12"/>
        <color theme="1"/>
        <rFont val="Calibri"/>
        <family val="2"/>
      </rPr>
      <t xml:space="preserve">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t>
    </r>
    <r>
      <rPr>
        <sz val="12"/>
        <color rgb="FFFF0000"/>
        <rFont val="Calibri"/>
        <family val="2"/>
      </rPr>
      <t xml:space="preserve">
</t>
    </r>
    <r>
      <rPr>
        <sz val="12"/>
        <color rgb="FF000000"/>
        <rFont val="Calibri"/>
        <family val="2"/>
      </rPr>
      <t xml:space="preserve">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PS1: Improving safety for all. The KPIs under this theme are:
</t>
    </r>
    <r>
      <rPr>
        <b/>
        <sz val="12"/>
        <color rgb="FF000000"/>
        <rFont val="Calibri"/>
        <family val="2"/>
      </rPr>
      <t>KPI: The number of people killed or seriously injured on the strategic road network (SRN). 
(National-level target for road period 2: A reduction in the number of people killed or seriously injured of at least 50% by the end of 2025 compared to 2005-09 baseline).</t>
    </r>
    <r>
      <rPr>
        <sz val="12"/>
        <color rgb="FF000000"/>
        <rFont val="Calibri"/>
        <family val="2"/>
      </rPr>
      <t xml:space="preserve">
</t>
    </r>
  </si>
  <si>
    <r>
      <t xml:space="preserve">The PIs under this theme are:
</t>
    </r>
    <r>
      <rPr>
        <b/>
        <sz val="12"/>
        <color rgb="FF000000"/>
        <rFont val="Calibri"/>
        <family val="2"/>
      </rPr>
      <t>PI: The total number of people killed or injured on the SRN.
PI: The number of non-motorised and motorcyclist users killed or injured on the SRN.
PI: The number of motorcyclist users killed or injured on the SRN.
PI: The number of cyclists killed or injured on the SRN.
PI: The number of pedestrians killed or injured on the SRN.
PI: The number of equestrians killed or injured on the SRN.
PI: The number of injury collisions on the SRN. 
PI: The accident frequency rate for National Highways staff.
PI: The accident frequency rate for National Highways supply chain staff.
PI: The % of traffic using iRAP 3* or above rated roads.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</si>
  <si>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</si>
  <si>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</si>
  <si>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</si>
  <si>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</si>
  <si>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</si>
  <si>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 xml:space="preserve">Definitions </t>
  </si>
  <si>
    <t>A fatal injury = any human casualty who has sustained injuries which caused death less than 30 days after the incident. Confirmed suicides are excluded.</t>
  </si>
  <si>
    <t xml:space="preserve">Casualty = A person killed or injured in an incident excluding suicide. Causalities are sub divided into killed, seriously injured and slightly injured. </t>
  </si>
  <si>
    <t xml:space="preserve">Safety indicators relating to casualty and collisions on the SRN are taken from DfT Stats-19 data published annually. The publication timeline creates a time lag for data availability. We expect validated data for 2022 at the end of September 2023. The most recent data used in this spreadsheet is for 2021.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</si>
  <si>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</si>
  <si>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</si>
  <si>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</si>
  <si>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</si>
  <si>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</si>
  <si>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</si>
  <si>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</si>
  <si>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</si>
  <si>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</si>
  <si>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</si>
  <si>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</si>
  <si>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</si>
  <si>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</si>
  <si>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</si>
  <si>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</si>
  <si>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</si>
  <si>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</si>
  <si>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rPr>
        <sz val="12"/>
        <color rgb="FF000000"/>
        <rFont val="Calibri"/>
        <family val="2"/>
      </rPr>
      <t xml:space="preserve">This data table was initially published </t>
    </r>
    <r>
      <rPr>
        <b/>
        <sz val="12"/>
        <color rgb="FF000000"/>
        <rFont val="Calibri"/>
        <family val="2"/>
      </rPr>
      <t xml:space="preserve"> August 2023</t>
    </r>
  </si>
  <si>
    <r>
      <rPr>
        <sz val="12"/>
        <color rgb="FF000000"/>
        <rFont val="Calibri"/>
        <family val="2"/>
      </rPr>
      <t>The next publication date is scheduled for</t>
    </r>
    <r>
      <rPr>
        <b/>
        <sz val="12"/>
        <color rgb="FF000000"/>
        <rFont val="Calibri"/>
        <family val="2"/>
      </rPr>
      <t xml:space="preserve"> August 2024</t>
    </r>
  </si>
  <si>
    <t>Contact details</t>
  </si>
  <si>
    <t xml:space="preserve">highways.monitor@orr.gov.uk </t>
  </si>
  <si>
    <t xml:space="preserve">Media enquiries: 020 7282 2094  </t>
  </si>
  <si>
    <r>
      <t xml:space="preserve">Contact: </t>
    </r>
    <r>
      <rPr>
        <b/>
        <sz val="12"/>
        <color rgb="FF000000"/>
        <rFont val="Calibri"/>
        <family val="2"/>
      </rPr>
      <t>T. Vilona</t>
    </r>
  </si>
  <si>
    <t xml:space="preserve">Notes </t>
  </si>
  <si>
    <t xml:space="preserve">This worksheet contain one table. </t>
  </si>
  <si>
    <t xml:space="preserve">Note number </t>
  </si>
  <si>
    <t xml:space="preserve">Note text </t>
  </si>
  <si>
    <t>Note 1</t>
  </si>
  <si>
    <t>Data is affected by reduced travel demand due to the impact of the pandemic.</t>
  </si>
  <si>
    <t>Note 2</t>
  </si>
  <si>
    <t xml:space="preserve">Police forces have introduced changes in the way serious injuries are recorded. To ensure comparability over time, the number of killed or seriously injured casualties (KSIs) is 'adjusted' to take account of the changes in methdology. </t>
  </si>
  <si>
    <t>Note 3</t>
  </si>
  <si>
    <t>Collision and casualy data include all trunk roads and motorways forming the SRN, including roads managed by Design, Build, Finance, and Operate (DBFO) organisations.</t>
  </si>
  <si>
    <t>Note 4</t>
  </si>
  <si>
    <t>Baseline performance will be calculated using data from April 2020 and the end of the road period in 2025 using the latest version of the iRAP model (version 3.02).</t>
  </si>
  <si>
    <t>Note 5</t>
  </si>
  <si>
    <t>All reportable incidents except “dangerous occurrences”, as defined in the Reporting of Injuries, Diseases and Dangerous  Occurrences Regulations (RIDDORs) 2013 reported by National Highways contractors and subcontractors. RIDDOR covers the reporting work-related deaths and injuries.</t>
  </si>
  <si>
    <t>Note 6</t>
  </si>
  <si>
    <t xml:space="preserve">This metric covers all reportable incidents except "dangerous occurrences", as defined in the Reporting of Injuries, Diseases and Dangerous Occurrences Regulations 2013 reported by National Highways contractors and subcontractors, including Design, Build, Finance and Operate (DBFO) organisations. </t>
  </si>
  <si>
    <t>Note 7</t>
  </si>
  <si>
    <t>Adjusted KSI figures are used for 2021. Preceding years are based on unadjusted figures. 2021 is not directly comparable with preceding years.</t>
  </si>
  <si>
    <t>Table of contents</t>
  </si>
  <si>
    <t>This worksheet contains one table.</t>
  </si>
  <si>
    <t>Worksheet name</t>
  </si>
  <si>
    <t>Worksheet title</t>
  </si>
  <si>
    <t>Dashboard</t>
  </si>
  <si>
    <r>
      <t xml:space="preserve">Interactive dashboard for outcome area: </t>
    </r>
    <r>
      <rPr>
        <b/>
        <sz val="12"/>
        <color rgb="FF000000"/>
        <rFont val="Calibri"/>
        <family val="2"/>
      </rPr>
      <t>Improving safety for all.</t>
    </r>
  </si>
  <si>
    <t>Table_1a</t>
  </si>
  <si>
    <t>The number of people killed or seriously injured on the SRN (adjusted for changes in police recording practices).</t>
  </si>
  <si>
    <t>Table_1b</t>
  </si>
  <si>
    <t>The total number of people killed or injured on the SRN.</t>
  </si>
  <si>
    <t>Table_1c</t>
  </si>
  <si>
    <r>
      <rPr>
        <b/>
        <sz val="12"/>
        <color rgb="FF000000"/>
        <rFont val="Calibri"/>
        <family val="2"/>
      </rPr>
      <t xml:space="preserve">The number of non-motorised and motorcyclist users killed or injured on the SRN: </t>
    </r>
    <r>
      <rPr>
        <sz val="12"/>
        <color rgb="FF000000"/>
        <rFont val="Calibri"/>
        <family val="2"/>
      </rPr>
      <t>This metric tracks the total number of pedestrian, pedal cyclist, motorcyclist and equestrian casualties on the SRN. This metric is further broken down by tables 1d, 1e, 1f, and 1g.</t>
    </r>
  </si>
  <si>
    <t>Table_1d</t>
  </si>
  <si>
    <t>The number of motorcyclist users killed or injured on the SRN.</t>
  </si>
  <si>
    <t>Table_1e</t>
  </si>
  <si>
    <t>The number of cyclists killed or injured on the SRN.</t>
  </si>
  <si>
    <t>Table_1f</t>
  </si>
  <si>
    <t>The number of pedestrians killed or injured on the SRN.</t>
  </si>
  <si>
    <t>Table_1g</t>
  </si>
  <si>
    <t>The number of equestrians killed or injured on the SRN.</t>
  </si>
  <si>
    <t>Table_1h</t>
  </si>
  <si>
    <r>
      <rPr>
        <b/>
        <sz val="12"/>
        <color rgb="FF000000"/>
        <rFont val="Calibri"/>
        <family val="2"/>
      </rPr>
      <t xml:space="preserve">The number of injury collisions on the SRN: </t>
    </r>
    <r>
      <rPr>
        <sz val="12"/>
        <color rgb="FF000000"/>
        <rFont val="Calibri"/>
        <family val="2"/>
      </rPr>
      <t>The total number of collisions recorded that resulted in at least one injury (of any severity) on the SRN.</t>
    </r>
  </si>
  <si>
    <t>Table_1i</t>
  </si>
  <si>
    <r>
      <rPr>
        <b/>
        <sz val="12"/>
        <color rgb="FF000000"/>
        <rFont val="Calibri"/>
        <family val="2"/>
      </rPr>
      <t xml:space="preserve">The accident frequency rate for National Highways staff: </t>
    </r>
    <r>
      <rPr>
        <sz val="12"/>
        <color rgb="FF000000"/>
        <rFont val="Calibri"/>
        <family val="2"/>
      </rPr>
      <t>The accident frequency rate for National Highways staff based on RIDDOR incidents and normalised by the number of hours worked in a year.</t>
    </r>
  </si>
  <si>
    <t>Table_1j</t>
  </si>
  <si>
    <r>
      <rPr>
        <b/>
        <sz val="12"/>
        <color rgb="FF000000"/>
        <rFont val="Calibri"/>
        <family val="2"/>
      </rPr>
      <t xml:space="preserve">The accident frequency rate for National Highways supply chain staff: </t>
    </r>
    <r>
      <rPr>
        <sz val="12"/>
        <color rgb="FF000000"/>
        <rFont val="Calibri"/>
        <family val="2"/>
      </rPr>
      <t xml:space="preserve">The accident frequency rate for National Highways supply chain staff based on RIDDOR incidents and normalised by the number of hours worked in a year. </t>
    </r>
  </si>
  <si>
    <t>Table_1k</t>
  </si>
  <si>
    <r>
      <t xml:space="preserve">The % of traffic using iRAP 3* or above rated roads: </t>
    </r>
    <r>
      <rPr>
        <sz val="12"/>
        <color rgb="FF000000"/>
        <rFont val="Calibri"/>
        <family val="2"/>
      </rPr>
      <t>The percentage of travel on roads with an International Road Assessment Programme (iRAP) safety rating of 3-star or better calculated using the latest version of the iRAP model.</t>
    </r>
  </si>
  <si>
    <t xml:space="preserve">Improving safety for all,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</si>
  <si>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</si>
  <si>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</si>
  <si>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</si>
  <si>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</si>
  <si>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t>Table 1a: The number of people killed or seriously injured on the SRN (adjusted for changes in police recording practices), England, annual data, January 2015 to December 2021 [Note 2][Note3]</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</si>
  <si>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</si>
  <si>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EA0000"/>
        <rFont val="Calibri"/>
        <family val="2"/>
      </rPr>
      <t xml:space="preserve">National-level target for road period 2: </t>
    </r>
    <r>
      <rPr>
        <sz val="12"/>
        <color rgb="FFEA0000"/>
        <rFont val="Calibri"/>
        <family val="2"/>
      </rPr>
      <t xml:space="preserve"> A reduction in the number of people killed or seriously injured (adjusted figures) of at least 50% by the end of 2025 compared to 2005-09 baseline.</t>
    </r>
  </si>
  <si>
    <t>Table 1a.ii Actual (adjusted)</t>
  </si>
  <si>
    <t>Time period</t>
  </si>
  <si>
    <t xml:space="preserve">National Highways
(Number) </t>
  </si>
  <si>
    <t>January 2015 to December 2015</t>
  </si>
  <si>
    <t>January 2016 to December 2016</t>
  </si>
  <si>
    <t>January 2017 to December 2017</t>
  </si>
  <si>
    <t>January 2018 to December 2018</t>
  </si>
  <si>
    <t>January 2019 to December 2019</t>
  </si>
  <si>
    <t>January 2020 to December 2020 [Note 1]</t>
  </si>
  <si>
    <t>January 2021 to December 2021 [Note 1], [Note 7]</t>
  </si>
  <si>
    <t>Table 1b:  The total number of people killed or injured on the SRN, England, annual data, January 2015 to December 2021 [Note 3]</t>
  </si>
  <si>
    <t xml:space="preserve">Yorkshire and North East
(Number) </t>
  </si>
  <si>
    <t xml:space="preserve">North West
(Number) </t>
  </si>
  <si>
    <t xml:space="preserve">Midlands
(Number) </t>
  </si>
  <si>
    <t xml:space="preserve">East
(Number) </t>
  </si>
  <si>
    <t xml:space="preserve">South East
(Number) </t>
  </si>
  <si>
    <t xml:space="preserve">South West
(Number) </t>
  </si>
  <si>
    <t>[x]</t>
  </si>
  <si>
    <t>January 2021 to December 2021 [Note 1]</t>
  </si>
  <si>
    <t>Table 1c:  The number of non-motorised and motorcyclist users killed or injured on the SRN, England, annual data, January 2015 to December 2021 [Note 3]</t>
  </si>
  <si>
    <t>Table 1d: The number of motorcyclists killed or injured on the SRN, England, annual data, January 2015 to December 2021 [Note 3]</t>
  </si>
  <si>
    <t>Table 1e: The number of cyclists killed or injured on the SRN, England, annual data, January 2015 to December 2021 [Note 3]</t>
  </si>
  <si>
    <t>Table 1f: The number of pedestrians killed or injured on the SRN, England, annual data, January 2015 to December 2021 [Note 3]</t>
  </si>
  <si>
    <t>Table 1g: The number of equestrians killed or injured on the SRN, England, annual data, January 2015 to December 2021 [Note 3]</t>
  </si>
  <si>
    <t>January 2020 to December 2020</t>
  </si>
  <si>
    <t>January 2021 to December 2021</t>
  </si>
  <si>
    <t>Table 1h: The number of injury collisions on the SRN, England, annual data, January 2019 to December 2021 [Note 3]</t>
  </si>
  <si>
    <t>Table 1i: The accident frequency rate for National Highways staff, England, annual data, April 2020 to March 2023 [Note 5][Note 6]</t>
  </si>
  <si>
    <t xml:space="preserve">  National Highways   
(RIDDORs per 100,000 hours worked) </t>
  </si>
  <si>
    <t>Yorkshire and North East
(RIDDORs per 100,000 hours worked)</t>
  </si>
  <si>
    <t>North West
(RIDDORs per 100,000 hours worked)</t>
  </si>
  <si>
    <t>Midlands
(RIDDORs per 100,000 hours worked)</t>
  </si>
  <si>
    <t>East
(RIDDORs per 100,000 hours worked)</t>
  </si>
  <si>
    <t xml:space="preserve">South East
(RIDDORs per 100,000 hours worked) </t>
  </si>
  <si>
    <t xml:space="preserve">South West
(RIDDORs per 100,000 hours worked) </t>
  </si>
  <si>
    <t xml:space="preserve">April 2020 to March 2021 </t>
  </si>
  <si>
    <t>April 2021 to March 2022</t>
  </si>
  <si>
    <t>April 2022 to March 2023</t>
  </si>
  <si>
    <t>Table 1j: The accident frequency rate for National Highways supply chain staff, England, annual data, April 2020 to March 2023 [Note 5][Note 6]</t>
  </si>
  <si>
    <t xml:space="preserve">Table 1k: The % of traffic using iRAP 3* or above rated roads, England, annual data, April 2020 to December 2023 [Note 3][Note 4] </t>
  </si>
  <si>
    <t>Some shorthand is used in this table, [x] = not available.</t>
  </si>
  <si>
    <t xml:space="preserve">National Highways   
(Percentage) </t>
  </si>
  <si>
    <t>April 2020 to March 2021</t>
  </si>
  <si>
    <t>CHARTS</t>
  </si>
  <si>
    <t>Year</t>
  </si>
  <si>
    <t xml:space="preserve"> National Highways</t>
  </si>
  <si>
    <t xml:space="preserve"> Yorkshire and North East</t>
  </si>
  <si>
    <t xml:space="preserve"> North West
</t>
  </si>
  <si>
    <t xml:space="preserve"> Midlands
</t>
  </si>
  <si>
    <t xml:space="preserve"> East
</t>
  </si>
  <si>
    <t xml:space="preserve"> South East
</t>
  </si>
  <si>
    <t xml:space="preserve"> South West
</t>
  </si>
  <si>
    <t>2016</t>
  </si>
  <si>
    <t>2017</t>
  </si>
  <si>
    <t>2018</t>
  </si>
  <si>
    <t>2019</t>
  </si>
  <si>
    <t>2020</t>
  </si>
  <si>
    <t>2021</t>
  </si>
  <si>
    <t>Notes</t>
  </si>
  <si>
    <t>Yorkshire and North East</t>
  </si>
  <si>
    <t>North West</t>
  </si>
  <si>
    <t>Midlands</t>
  </si>
  <si>
    <t>East</t>
  </si>
  <si>
    <t>South East</t>
  </si>
  <si>
    <t>South West</t>
  </si>
  <si>
    <t>National Highways</t>
  </si>
  <si>
    <t>KPI</t>
  </si>
  <si>
    <t>The number of people killed or seriously injured (KSI)</t>
  </si>
  <si>
    <t>Latest year</t>
  </si>
  <si>
    <t>compared to NH</t>
  </si>
  <si>
    <t>max</t>
  </si>
  <si>
    <t>Absolute value</t>
  </si>
  <si>
    <t>min</t>
  </si>
  <si>
    <t>RIDDOR</t>
  </si>
  <si>
    <t>Best performing</t>
  </si>
  <si>
    <t>Fewest casualties</t>
  </si>
  <si>
    <t xml:space="preserve">Fewest collisions </t>
  </si>
  <si>
    <t>Fewest incidents</t>
  </si>
  <si>
    <t>Worst performing</t>
  </si>
  <si>
    <t>Most casualties</t>
  </si>
  <si>
    <t>Most collisions</t>
  </si>
  <si>
    <t>Most incidents</t>
  </si>
  <si>
    <t>E67&amp;" ("&amp;A58&amp;")"</t>
  </si>
  <si>
    <t xml:space="preserve">See notes: </t>
  </si>
  <si>
    <t xml:space="preserve">Note 1 </t>
  </si>
  <si>
    <t>Data for 2021-22 is affected by reduced travel demand due to the impact of the pandemic.</t>
  </si>
  <si>
    <t xml:space="preserve"> "&amp;is&amp;" "&amp;TEXT(K61,0)&amp;"times greater, whilst in "&amp;B68&amp;""&amp;the rate is&amp;""&amp;TEXT(K62 ,0)&amp;""&amp;lower&amp;")</t>
  </si>
  <si>
    <t xml:space="preserve">There were recent changes to how police recorded serious injuries. The change in methodology resulted in 'unadjusted' and 'adjusted' figures. This allowed for continued comparison against historic data. 'Unadjusted' figures are figures which record data using the former methodology. The 'unadjusted' figures allocates a lower severity, in general, to injuries. Therefore, under the new police recording system, more injuries tend to be classified as 'serious'. Whilst the 'adjusted' figures account for the new police recording methodology. </t>
  </si>
  <si>
    <t>This metric includes all trunk roads and motorways forming the SRN, including roads managed by Design, Build, Finance, and Operate (DBFO) organisations.</t>
  </si>
  <si>
    <t xml:space="preserve">This metric is a new metric for road period 2. </t>
  </si>
  <si>
    <t>Table</t>
  </si>
  <si>
    <t>Time frame</t>
  </si>
  <si>
    <t xml:space="preserve">North West
</t>
  </si>
  <si>
    <t xml:space="preserve">Midlands
</t>
  </si>
  <si>
    <t xml:space="preserve">East
</t>
  </si>
  <si>
    <t xml:space="preserve">South East
</t>
  </si>
  <si>
    <t xml:space="preserve">South West
</t>
  </si>
  <si>
    <t>Total number of people killed or injured</t>
  </si>
  <si>
    <t>The number of non-motorised and motorcyclist users killed or injured</t>
  </si>
  <si>
    <t xml:space="preserve"> The number of motorcyclists killed or injured</t>
  </si>
  <si>
    <t xml:space="preserve"> The number of cyclists killed or injured</t>
  </si>
  <si>
    <t>The number of pedestrians killed or injured</t>
  </si>
  <si>
    <t>The number of equestrians killed or injured</t>
  </si>
  <si>
    <t>The number of injury collisions</t>
  </si>
  <si>
    <t>2020-21</t>
  </si>
  <si>
    <t>The accident frequency rate for National Highways staff</t>
  </si>
  <si>
    <t>2021-22</t>
  </si>
  <si>
    <t>2022-23</t>
  </si>
  <si>
    <t xml:space="preserve"> The accident frequency rate for National Highways supply chain staff</t>
  </si>
  <si>
    <t>The % of traffic using iRAP 3 or above rated roads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</si>
</sst>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2"/>
      <name val="Calibri"/>
      <family val="2"/>
      <scheme val="minor"/>
    </font>
    <font>
      <sz val="12"/>
      <color rgb="FF000000"/>
      <name val="Calibri"/>
      <family val="2"/>
      <scheme val="minor"/>
    </font>
    <font>
      <sz val="12"/>
      <name val="Calibri"/>
      <family val="2"/>
    </font>
    <font>
      <b/>
      <sz val="14"/>
      <name val="Calibri"/>
      <family val="2"/>
    </font>
    <font>
      <sz val="11"/>
      <color rgb="FFFF0000"/>
      <name val="Arial"/>
      <family val="2"/>
    </font>
    <font>
      <sz val="11"/>
      <color rgb="FF000000"/>
      <name val="Arial"/>
      <family val="2"/>
    </font>
    <font>
      <sz val="8"/>
      <name val="Calibri"/>
      <family val="2"/>
    </font>
    <font>
      <b/>
      <sz val="12"/>
      <name val="Calibri"/>
      <family val="2"/>
    </font>
    <font>
      <b/>
      <sz val="11"/>
      <color rgb="FF000000"/>
      <name val="Calibri"/>
      <family val="2"/>
    </font>
    <font>
      <sz val="10"/>
      <color rgb="FF000000"/>
      <name val="Calibri"/>
      <family val="2"/>
    </font>
    <font>
      <sz val="12"/>
      <color rgb="FF333333"/>
      <name val="Georgia"/>
      <family val="1"/>
    </font>
    <font>
      <sz val="11"/>
      <color rgb="FF000000"/>
      <name val="Georgia"/>
      <family val="1"/>
    </font>
    <font>
      <b/>
      <sz val="11"/>
      <color rgb="FF253268"/>
      <name val="Arial"/>
      <family val="2"/>
    </font>
    <font>
      <b/>
      <sz val="12"/>
      <color rgb="FF000000"/>
      <name val="Arial"/>
      <family val="2"/>
    </font>
    <font>
      <sz val="13"/>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sz val="12"/>
      <color rgb="FFEA0000"/>
      <name val="Calibri"/>
      <family val="2"/>
    </font>
    <font>
      <b/>
      <sz val="12"/>
      <color rgb="FFEA0000"/>
      <name val="Calibri"/>
      <family val="2"/>
    </font>
    <font>
      <b/>
      <sz val="11"/>
      <name val="Calibri"/>
      <family val="2"/>
    </font>
    <font>
      <sz val="11"/>
      <name val="Calibri"/>
      <family val="2"/>
    </font>
    <font>
      <b/>
      <sz val="10"/>
      <color theme="0"/>
      <name val="Calibri"/>
      <family val="2"/>
    </font>
    <font>
      <sz val="11"/>
      <color rgb="FF2941C5"/>
      <name val="Georgia Pro Black"/>
      <family val="1"/>
    </font>
    <font>
      <sz val="11"/>
      <color rgb="FF253268"/>
      <name val="Georgia Pro Black"/>
      <family val="1"/>
    </font>
    <font>
      <sz val="11"/>
      <color rgb="FF253268"/>
      <name val="Arial"/>
      <family val="2"/>
    </font>
    <font>
      <b/>
      <u/>
      <sz val="12"/>
      <name val="Arial"/>
      <family val="2"/>
    </font>
    <font>
      <b/>
      <u/>
      <sz val="13"/>
      <name val="Georgia"/>
      <family val="1"/>
    </font>
    <font>
      <sz val="13"/>
      <name val="Georgia"/>
      <family val="1"/>
    </font>
    <font>
      <sz val="12"/>
      <name val="Georgia"/>
      <family val="1"/>
    </font>
    <font>
      <sz val="11"/>
      <color theme="6"/>
      <name val="Calibri"/>
      <family val="2"/>
    </font>
    <font>
      <sz val="12"/>
      <color rgb="FFFF0000"/>
      <name val="Calibri"/>
      <family val="2"/>
    </font>
    <font>
      <sz val="12"/>
      <color theme="1"/>
      <name val="Calibri"/>
      <family val="2"/>
    </font>
    <font>
      <sz val="11"/>
      <color rgb="FFFF0000"/>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
      <patternFill patternType="solid">
        <fgColor theme="0"/>
        <bgColor indexed="64"/>
      </patternFill>
    </fill>
  </fills>
  <borders count="73">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ck">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3" fontId="1" fillId="0" borderId="0" applyFont="0" applyFill="0" applyBorder="0" applyAlignment="0" applyProtection="0"/>
    <xf numFmtId="0" fontId="1" fillId="0" borderId="0"/>
    <xf numFmtId="0" fontId="16" fillId="0" borderId="0"/>
    <xf numFmtId="44" fontId="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8" fillId="0" borderId="0"/>
    <xf numFmtId="0" fontId="18" fillId="0" borderId="0"/>
    <xf numFmtId="0" fontId="18" fillId="0" borderId="0"/>
    <xf numFmtId="0" fontId="18" fillId="0" borderId="0"/>
    <xf numFmtId="0" fontId="19" fillId="0" borderId="11" applyNumberFormat="0" applyFill="0" applyProtection="0">
      <alignment horizontal="center"/>
    </xf>
    <xf numFmtId="165" fontId="18" fillId="0" borderId="0" applyFont="0" applyFill="0" applyBorder="0" applyProtection="0">
      <alignment horizontal="right"/>
    </xf>
    <xf numFmtId="165" fontId="18" fillId="0" borderId="0" applyFont="0" applyFill="0" applyBorder="0" applyProtection="0">
      <alignment horizontal="right"/>
    </xf>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167" fontId="18" fillId="0" borderId="0" applyFont="0" applyFill="0" applyBorder="0" applyProtection="0">
      <alignment horizontal="right"/>
    </xf>
    <xf numFmtId="167" fontId="18" fillId="0" borderId="0" applyFont="0" applyFill="0" applyBorder="0" applyProtection="0">
      <alignment horizontal="right"/>
    </xf>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178" fontId="18" fillId="0" borderId="0" applyBorder="0"/>
    <xf numFmtId="0" fontId="38" fillId="51" borderId="12" applyNumberFormat="0" applyAlignment="0" applyProtection="0"/>
    <xf numFmtId="0" fontId="39" fillId="52" borderId="13" applyNumberFormat="0" applyAlignment="0" applyProtection="0"/>
    <xf numFmtId="167" fontId="20" fillId="0" borderId="0" applyFont="0" applyFill="0" applyBorder="0" applyProtection="0">
      <alignment horizontal="right"/>
    </xf>
    <xf numFmtId="169" fontId="20" fillId="0" borderId="0" applyFont="0" applyFill="0" applyBorder="0" applyProtection="0">
      <alignment horizontal="lef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2" fillId="0" borderId="14" applyNumberFormat="0" applyBorder="0" applyAlignment="0" applyProtection="0">
      <alignment horizontal="right" vertical="center"/>
    </xf>
    <xf numFmtId="179" fontId="18" fillId="0" borderId="0" applyFont="0" applyFill="0" applyBorder="0" applyAlignment="0" applyProtection="0"/>
    <xf numFmtId="0" fontId="40" fillId="0" borderId="0" applyNumberFormat="0" applyFill="0" applyBorder="0" applyAlignment="0" applyProtection="0"/>
    <xf numFmtId="0" fontId="53" fillId="0" borderId="0">
      <alignment horizontal="right"/>
      <protection locked="0"/>
    </xf>
    <xf numFmtId="0" fontId="21" fillId="0" borderId="0">
      <alignment horizontal="left"/>
    </xf>
    <xf numFmtId="0" fontId="22"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41" fillId="34" borderId="0" applyNumberFormat="0" applyBorder="0" applyAlignment="0" applyProtection="0"/>
    <xf numFmtId="38" fontId="13" fillId="53" borderId="0" applyNumberFormat="0" applyBorder="0" applyAlignment="0" applyProtection="0"/>
    <xf numFmtId="0" fontId="23" fillId="54" borderId="15" applyProtection="0">
      <alignment horizontal="right"/>
    </xf>
    <xf numFmtId="0" fontId="24" fillId="54" borderId="0" applyProtection="0">
      <alignment horizontal="left"/>
    </xf>
    <xf numFmtId="0" fontId="42" fillId="0" borderId="16" applyNumberFormat="0" applyFill="0" applyAlignment="0" applyProtection="0"/>
    <xf numFmtId="0" fontId="54" fillId="0" borderId="0">
      <alignment vertical="top" wrapText="1"/>
    </xf>
    <xf numFmtId="0" fontId="54" fillId="0" borderId="0">
      <alignment vertical="top" wrapText="1"/>
    </xf>
    <xf numFmtId="0" fontId="54" fillId="0" borderId="0">
      <alignment vertical="top" wrapText="1"/>
    </xf>
    <xf numFmtId="0" fontId="54" fillId="0" borderId="0">
      <alignment vertical="top" wrapText="1"/>
    </xf>
    <xf numFmtId="0" fontId="43" fillId="0" borderId="17" applyNumberFormat="0" applyFill="0" applyAlignment="0" applyProtection="0"/>
    <xf numFmtId="170" fontId="55" fillId="0" borderId="0" applyNumberFormat="0" applyFill="0" applyAlignment="0" applyProtection="0"/>
    <xf numFmtId="0" fontId="44" fillId="0" borderId="18" applyNumberFormat="0" applyFill="0" applyAlignment="0" applyProtection="0"/>
    <xf numFmtId="170" fontId="56" fillId="0" borderId="0" applyNumberFormat="0" applyFill="0" applyAlignment="0" applyProtection="0"/>
    <xf numFmtId="0" fontId="44" fillId="0" borderId="0" applyNumberFormat="0" applyFill="0" applyBorder="0" applyAlignment="0" applyProtection="0"/>
    <xf numFmtId="170" fontId="57" fillId="0" borderId="0" applyNumberFormat="0" applyFill="0" applyAlignment="0" applyProtection="0"/>
    <xf numFmtId="170" fontId="25" fillId="0" borderId="0" applyNumberFormat="0" applyFill="0" applyAlignment="0" applyProtection="0"/>
    <xf numFmtId="170" fontId="26" fillId="0" borderId="0" applyNumberFormat="0" applyFill="0" applyAlignment="0" applyProtection="0"/>
    <xf numFmtId="170" fontId="26" fillId="0" borderId="0" applyNumberFormat="0" applyFont="0" applyFill="0" applyBorder="0" applyAlignment="0" applyProtection="0"/>
    <xf numFmtId="170" fontId="26" fillId="0" borderId="0" applyNumberFormat="0" applyFont="0" applyFill="0" applyBorder="0" applyAlignment="0" applyProtection="0"/>
    <xf numFmtId="0" fontId="74"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7" fillId="0" borderId="0" applyFill="0" applyBorder="0" applyProtection="0">
      <alignment horizontal="left"/>
    </xf>
    <xf numFmtId="10" fontId="13" fillId="55" borderId="9" applyNumberFormat="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23" fillId="0" borderId="19" applyProtection="0">
      <alignment horizontal="right"/>
    </xf>
    <xf numFmtId="0" fontId="23" fillId="0" borderId="15" applyProtection="0">
      <alignment horizontal="right"/>
    </xf>
    <xf numFmtId="0" fontId="23" fillId="0" borderId="20" applyProtection="0">
      <alignment horizontal="center"/>
      <protection locked="0"/>
    </xf>
    <xf numFmtId="0" fontId="46" fillId="0" borderId="21" applyNumberFormat="0" applyFill="0" applyAlignment="0" applyProtection="0"/>
    <xf numFmtId="0" fontId="18" fillId="0" borderId="0"/>
    <xf numFmtId="0" fontId="18" fillId="0" borderId="0"/>
    <xf numFmtId="0" fontId="18" fillId="0" borderId="0"/>
    <xf numFmtId="1" fontId="18" fillId="0" borderId="0" applyFont="0" applyFill="0" applyBorder="0" applyProtection="0">
      <alignment horizontal="right"/>
    </xf>
    <xf numFmtId="1" fontId="18" fillId="0" borderId="0" applyFont="0" applyFill="0" applyBorder="0" applyProtection="0">
      <alignment horizontal="right"/>
    </xf>
    <xf numFmtId="0" fontId="47" fillId="44"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7"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56" borderId="22" applyNumberFormat="0" applyFont="0" applyAlignment="0" applyProtection="0"/>
    <xf numFmtId="0" fontId="48" fillId="51" borderId="23" applyNumberFormat="0" applyAlignment="0" applyProtection="0"/>
    <xf numFmtId="40" fontId="60" fillId="57" borderId="0">
      <alignment horizontal="right"/>
    </xf>
    <xf numFmtId="0" fontId="61" fillId="57" borderId="0">
      <alignment horizontal="right"/>
    </xf>
    <xf numFmtId="0" fontId="62" fillId="57" borderId="24"/>
    <xf numFmtId="0" fontId="62" fillId="0" borderId="0" applyBorder="0">
      <alignment horizontal="centerContinuous"/>
    </xf>
    <xf numFmtId="0" fontId="63" fillId="0" borderId="0" applyBorder="0">
      <alignment horizontal="centerContinuous"/>
    </xf>
    <xf numFmtId="171" fontId="18" fillId="0" borderId="0" applyFont="0" applyFill="0" applyBorder="0" applyProtection="0">
      <alignment horizontal="right"/>
    </xf>
    <xf numFmtId="171" fontId="18" fillId="0" borderId="0" applyFont="0" applyFill="0" applyBorder="0" applyProtection="0">
      <alignment horizontal="right"/>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xf numFmtId="2" fontId="64" fillId="58" borderId="10" applyAlignment="0" applyProtection="0">
      <protection locked="0"/>
    </xf>
    <xf numFmtId="0" fontId="65" fillId="55" borderId="10" applyNumberFormat="0" applyAlignment="0" applyProtection="0"/>
    <xf numFmtId="0" fontId="66" fillId="59" borderId="9" applyNumberFormat="0" applyAlignment="0" applyProtection="0">
      <alignment horizontal="center" vertical="center"/>
    </xf>
    <xf numFmtId="4" fontId="28" fillId="60" borderId="23" applyNumberFormat="0" applyProtection="0">
      <alignment vertical="center"/>
    </xf>
    <xf numFmtId="4" fontId="67" fillId="60" borderId="23" applyNumberFormat="0" applyProtection="0">
      <alignment vertical="center"/>
    </xf>
    <xf numFmtId="4" fontId="28" fillId="60" borderId="23" applyNumberFormat="0" applyProtection="0">
      <alignment horizontal="left" vertical="center" indent="1"/>
    </xf>
    <xf numFmtId="4" fontId="28" fillId="60" borderId="23" applyNumberFormat="0" applyProtection="0">
      <alignment horizontal="left" vertical="center" indent="1"/>
    </xf>
    <xf numFmtId="0" fontId="18" fillId="61" borderId="23" applyNumberFormat="0" applyProtection="0">
      <alignment horizontal="left" vertical="center" indent="1"/>
    </xf>
    <xf numFmtId="4" fontId="28" fillId="62" borderId="23" applyNumberFormat="0" applyProtection="0">
      <alignment horizontal="right" vertical="center"/>
    </xf>
    <xf numFmtId="4" fontId="28" fillId="63" borderId="23" applyNumberFormat="0" applyProtection="0">
      <alignment horizontal="right" vertical="center"/>
    </xf>
    <xf numFmtId="4" fontId="28" fillId="64" borderId="23" applyNumberFormat="0" applyProtection="0">
      <alignment horizontal="right" vertical="center"/>
    </xf>
    <xf numFmtId="4" fontId="28" fillId="65" borderId="23" applyNumberFormat="0" applyProtection="0">
      <alignment horizontal="right" vertical="center"/>
    </xf>
    <xf numFmtId="4" fontId="28" fillId="66" borderId="23" applyNumberFormat="0" applyProtection="0">
      <alignment horizontal="right" vertical="center"/>
    </xf>
    <xf numFmtId="4" fontId="28" fillId="67" borderId="23" applyNumberFormat="0" applyProtection="0">
      <alignment horizontal="right" vertical="center"/>
    </xf>
    <xf numFmtId="4" fontId="28" fillId="68" borderId="23" applyNumberFormat="0" applyProtection="0">
      <alignment horizontal="right" vertical="center"/>
    </xf>
    <xf numFmtId="4" fontId="28" fillId="69" borderId="23" applyNumberFormat="0" applyProtection="0">
      <alignment horizontal="right" vertical="center"/>
    </xf>
    <xf numFmtId="4" fontId="28" fillId="70" borderId="23" applyNumberFormat="0" applyProtection="0">
      <alignment horizontal="right" vertical="center"/>
    </xf>
    <xf numFmtId="4" fontId="68" fillId="71" borderId="23" applyNumberFormat="0" applyProtection="0">
      <alignment horizontal="left" vertical="center" indent="1"/>
    </xf>
    <xf numFmtId="4" fontId="28" fillId="72" borderId="25" applyNumberFormat="0" applyProtection="0">
      <alignment horizontal="left" vertical="center" indent="1"/>
    </xf>
    <xf numFmtId="4" fontId="69" fillId="73" borderId="0" applyNumberFormat="0" applyProtection="0">
      <alignment horizontal="left" vertical="center" indent="1"/>
    </xf>
    <xf numFmtId="0" fontId="18" fillId="61" borderId="23" applyNumberFormat="0" applyProtection="0">
      <alignment horizontal="left" vertical="center" indent="1"/>
    </xf>
    <xf numFmtId="4" fontId="28" fillId="72" borderId="23" applyNumberFormat="0" applyProtection="0">
      <alignment horizontal="left" vertical="center" indent="1"/>
    </xf>
    <xf numFmtId="4" fontId="28" fillId="74" borderId="23" applyNumberFormat="0" applyProtection="0">
      <alignment horizontal="left" vertical="center" indent="1"/>
    </xf>
    <xf numFmtId="0" fontId="18" fillId="74" borderId="23" applyNumberFormat="0" applyProtection="0">
      <alignment horizontal="left" vertical="center" indent="1"/>
    </xf>
    <xf numFmtId="0" fontId="18" fillId="74" borderId="23" applyNumberFormat="0" applyProtection="0">
      <alignment horizontal="left" vertical="center" indent="1"/>
    </xf>
    <xf numFmtId="0" fontId="18" fillId="59" borderId="23" applyNumberFormat="0" applyProtection="0">
      <alignment horizontal="left" vertical="center" indent="1"/>
    </xf>
    <xf numFmtId="0" fontId="18" fillId="59" borderId="23" applyNumberFormat="0" applyProtection="0">
      <alignment horizontal="left" vertical="center" indent="1"/>
    </xf>
    <xf numFmtId="0" fontId="18" fillId="53" borderId="23" applyNumberFormat="0" applyProtection="0">
      <alignment horizontal="left" vertical="center" indent="1"/>
    </xf>
    <xf numFmtId="0" fontId="18" fillId="53" borderId="23" applyNumberFormat="0" applyProtection="0">
      <alignment horizontal="left" vertical="center" indent="1"/>
    </xf>
    <xf numFmtId="0" fontId="18" fillId="61" borderId="23" applyNumberFormat="0" applyProtection="0">
      <alignment horizontal="left" vertical="center" indent="1"/>
    </xf>
    <xf numFmtId="0" fontId="18" fillId="61" borderId="23" applyNumberFormat="0" applyProtection="0">
      <alignment horizontal="left" vertical="center" indent="1"/>
    </xf>
    <xf numFmtId="4" fontId="28" fillId="55" borderId="23" applyNumberFormat="0" applyProtection="0">
      <alignment vertical="center"/>
    </xf>
    <xf numFmtId="4" fontId="67" fillId="55" borderId="23" applyNumberFormat="0" applyProtection="0">
      <alignment vertical="center"/>
    </xf>
    <xf numFmtId="4" fontId="28" fillId="55" borderId="23" applyNumberFormat="0" applyProtection="0">
      <alignment horizontal="left" vertical="center" indent="1"/>
    </xf>
    <xf numFmtId="4" fontId="28" fillId="55" borderId="23" applyNumberFormat="0" applyProtection="0">
      <alignment horizontal="left" vertical="center" indent="1"/>
    </xf>
    <xf numFmtId="4" fontId="28" fillId="72" borderId="23" applyNumberFormat="0" applyProtection="0">
      <alignment horizontal="right" vertical="center"/>
    </xf>
    <xf numFmtId="4" fontId="67" fillId="72" borderId="23" applyNumberFormat="0" applyProtection="0">
      <alignment horizontal="right" vertical="center"/>
    </xf>
    <xf numFmtId="0" fontId="18" fillId="61" borderId="23" applyNumberFormat="0" applyProtection="0">
      <alignment horizontal="left" vertical="center" indent="1"/>
    </xf>
    <xf numFmtId="0" fontId="18" fillId="61" borderId="23" applyNumberFormat="0" applyProtection="0">
      <alignment horizontal="left" vertical="center" indent="1"/>
    </xf>
    <xf numFmtId="0" fontId="70" fillId="0" borderId="0"/>
    <xf numFmtId="4" fontId="71" fillId="72" borderId="23" applyNumberFormat="0" applyProtection="0">
      <alignment horizontal="right" vertical="center"/>
    </xf>
    <xf numFmtId="0" fontId="18" fillId="0" borderId="0"/>
    <xf numFmtId="0" fontId="29" fillId="57" borderId="8">
      <alignment horizontal="center"/>
    </xf>
    <xf numFmtId="3" fontId="30" fillId="57" borderId="0"/>
    <xf numFmtId="3" fontId="29" fillId="57" borderId="0"/>
    <xf numFmtId="0" fontId="30" fillId="57" borderId="0"/>
    <xf numFmtId="0" fontId="29" fillId="57" borderId="0"/>
    <xf numFmtId="0" fontId="30" fillId="57" borderId="0">
      <alignment horizontal="center"/>
    </xf>
    <xf numFmtId="0" fontId="31" fillId="0" borderId="0">
      <alignment wrapText="1"/>
    </xf>
    <xf numFmtId="0" fontId="31" fillId="0" borderId="0">
      <alignment wrapText="1"/>
    </xf>
    <xf numFmtId="0" fontId="31" fillId="0" borderId="0">
      <alignment wrapText="1"/>
    </xf>
    <xf numFmtId="0" fontId="31" fillId="0" borderId="0">
      <alignment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5" fillId="0" borderId="0"/>
    <xf numFmtId="0" fontId="35" fillId="0" borderId="0"/>
    <xf numFmtId="0" fontId="35" fillId="0" borderId="0"/>
    <xf numFmtId="172" fontId="13" fillId="0" borderId="0">
      <alignment wrapText="1"/>
      <protection locked="0"/>
    </xf>
    <xf numFmtId="172" fontId="13" fillId="0"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13" fillId="0" borderId="0">
      <alignment wrapText="1"/>
      <protection locked="0"/>
    </xf>
    <xf numFmtId="173" fontId="13" fillId="0" borderId="0">
      <alignment wrapText="1"/>
      <protection locked="0"/>
    </xf>
    <xf numFmtId="173" fontId="13" fillId="0" borderId="0">
      <alignment wrapText="1"/>
      <protection locked="0"/>
    </xf>
    <xf numFmtId="173" fontId="13" fillId="0"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13" fillId="0" borderId="0">
      <alignment wrapText="1"/>
      <protection locked="0"/>
    </xf>
    <xf numFmtId="174" fontId="13" fillId="0" borderId="0">
      <alignment wrapText="1"/>
      <protection locked="0"/>
    </xf>
    <xf numFmtId="174" fontId="13" fillId="0"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13" fillId="0" borderId="0">
      <alignment wrapText="1"/>
      <protection locked="0"/>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40" fontId="72" fillId="0" borderId="0"/>
    <xf numFmtId="0" fontId="49" fillId="0" borderId="0" applyNumberFormat="0" applyFill="0" applyBorder="0" applyAlignment="0" applyProtection="0"/>
    <xf numFmtId="0" fontId="73" fillId="0" borderId="0" applyNumberFormat="0" applyFill="0" applyBorder="0" applyProtection="0">
      <alignment horizontal="left" vertical="center" indent="10"/>
    </xf>
    <xf numFmtId="0" fontId="73" fillId="0" borderId="0" applyNumberFormat="0" applyFill="0" applyBorder="0" applyProtection="0">
      <alignment horizontal="left" vertical="center" indent="10"/>
    </xf>
    <xf numFmtId="0" fontId="50" fillId="0" borderId="28" applyNumberFormat="0" applyFill="0" applyAlignment="0" applyProtection="0"/>
    <xf numFmtId="0" fontId="51" fillId="0" borderId="0" applyNumberFormat="0" applyFill="0" applyBorder="0" applyAlignment="0" applyProtection="0"/>
    <xf numFmtId="0" fontId="13"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2" fontId="18" fillId="0" borderId="0" applyNumberFormat="0" applyFont="0" applyBorder="0" applyAlignment="0">
      <alignment horizontal="right" indent="1"/>
    </xf>
    <xf numFmtId="182" fontId="18" fillId="0" borderId="0" applyNumberFormat="0" applyFont="0" applyBorder="0" applyAlignment="0">
      <alignment horizontal="right" indent="1"/>
    </xf>
    <xf numFmtId="0" fontId="17" fillId="36"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77"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8" fillId="79" borderId="32"/>
    <xf numFmtId="0" fontId="18" fillId="79" borderId="32"/>
    <xf numFmtId="0" fontId="18" fillId="79" borderId="32"/>
    <xf numFmtId="0" fontId="18" fillId="79" borderId="32"/>
    <xf numFmtId="0" fontId="18" fillId="79" borderId="32"/>
    <xf numFmtId="195" fontId="18" fillId="0" borderId="0">
      <protection locked="0"/>
    </xf>
    <xf numFmtId="195" fontId="18" fillId="0" borderId="33">
      <protection locked="0"/>
    </xf>
    <xf numFmtId="10" fontId="18" fillId="57" borderId="9">
      <alignment horizontal="right"/>
    </xf>
    <xf numFmtId="183" fontId="18" fillId="57" borderId="0"/>
    <xf numFmtId="182" fontId="18" fillId="0" borderId="10"/>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0" fontId="78" fillId="53" borderId="9" applyAlignment="0"/>
    <xf numFmtId="182" fontId="79" fillId="64" borderId="0"/>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80" fillId="60" borderId="9"/>
    <xf numFmtId="15" fontId="18" fillId="0" borderId="0"/>
    <xf numFmtId="15" fontId="18" fillId="0" borderId="0"/>
    <xf numFmtId="15" fontId="18" fillId="0" borderId="0"/>
    <xf numFmtId="15" fontId="18" fillId="0" borderId="0"/>
    <xf numFmtId="15" fontId="18" fillId="0" borderId="0"/>
    <xf numFmtId="15" fontId="18" fillId="0" borderId="0">
      <alignment horizontal="right" indent="1"/>
    </xf>
    <xf numFmtId="17" fontId="18" fillId="0" borderId="0">
      <alignment horizontal="right" indent="1"/>
    </xf>
    <xf numFmtId="194" fontId="18" fillId="0" borderId="0">
      <alignment horizontal="right" indent="1"/>
    </xf>
    <xf numFmtId="0" fontId="76" fillId="0" borderId="0" applyNumberFormat="0" applyFill="0" applyBorder="0" applyAlignment="0" applyProtection="0"/>
    <xf numFmtId="183" fontId="78" fillId="82" borderId="9">
      <alignment horizontal="center"/>
    </xf>
    <xf numFmtId="184" fontId="80" fillId="82" borderId="9"/>
    <xf numFmtId="187" fontId="78" fillId="70" borderId="9" applyNumberFormat="0" applyFont="0" applyBorder="0" applyAlignment="0"/>
    <xf numFmtId="40" fontId="82" fillId="55" borderId="0" applyNumberFormat="0" applyBorder="0" applyAlignment="0" applyProtection="0"/>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83" fillId="39" borderId="0" applyNumberFormat="0" applyBorder="0" applyAlignment="0" applyProtection="0"/>
    <xf numFmtId="0" fontId="83" fillId="39" borderId="0" applyNumberFormat="0" applyBorder="0" applyAlignment="0" applyProtection="0"/>
    <xf numFmtId="0" fontId="84" fillId="0" borderId="0">
      <alignment horizontal="left" vertical="top"/>
    </xf>
    <xf numFmtId="0" fontId="85" fillId="0" borderId="0">
      <alignment horizontal="left" vertical="top"/>
    </xf>
    <xf numFmtId="0" fontId="100" fillId="0" borderId="0"/>
    <xf numFmtId="0" fontId="101" fillId="0" borderId="0"/>
    <xf numFmtId="0" fontId="86" fillId="74" borderId="0" applyNumberFormat="0"/>
    <xf numFmtId="0" fontId="86" fillId="74" borderId="0" applyNumberFormat="0"/>
    <xf numFmtId="0" fontId="55" fillId="53" borderId="0"/>
    <xf numFmtId="0" fontId="55" fillId="53" borderId="0"/>
    <xf numFmtId="0" fontId="87" fillId="0" borderId="34"/>
    <xf numFmtId="0" fontId="87" fillId="0" borderId="34"/>
    <xf numFmtId="0" fontId="87" fillId="0" borderId="35"/>
    <xf numFmtId="0" fontId="87" fillId="0" borderId="35"/>
    <xf numFmtId="0" fontId="87" fillId="0" borderId="35"/>
    <xf numFmtId="0" fontId="87" fillId="0" borderId="35"/>
    <xf numFmtId="0" fontId="88" fillId="0" borderId="0"/>
    <xf numFmtId="0" fontId="89" fillId="0" borderId="0"/>
    <xf numFmtId="164" fontId="18" fillId="6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3" fontId="18" fillId="60" borderId="9">
      <protection locked="0"/>
    </xf>
    <xf numFmtId="0" fontId="90" fillId="0" borderId="0">
      <alignment horizontal="left"/>
    </xf>
    <xf numFmtId="188" fontId="18" fillId="80" borderId="9"/>
    <xf numFmtId="0" fontId="57" fillId="0" borderId="0">
      <alignment horizontal="left" indent="1"/>
    </xf>
    <xf numFmtId="0" fontId="57" fillId="0" borderId="0">
      <alignment horizontal="left" indent="1"/>
    </xf>
    <xf numFmtId="0" fontId="57" fillId="0" borderId="0">
      <alignment horizontal="left" indent="1"/>
    </xf>
    <xf numFmtId="184" fontId="81" fillId="58" borderId="9"/>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34" fillId="0" borderId="0">
      <alignment horizontal="right"/>
    </xf>
    <xf numFmtId="0" fontId="18" fillId="0" borderId="0"/>
    <xf numFmtId="0" fontId="18" fillId="0" borderId="0"/>
    <xf numFmtId="0" fontId="18" fillId="0" borderId="0"/>
    <xf numFmtId="0" fontId="18" fillId="0" borderId="0"/>
    <xf numFmtId="0" fontId="1" fillId="0" borderId="0"/>
    <xf numFmtId="0" fontId="103" fillId="0" borderId="0"/>
    <xf numFmtId="0" fontId="1" fillId="0" borderId="0"/>
    <xf numFmtId="0" fontId="18" fillId="60" borderId="0">
      <alignment horizontal="left" indent="1"/>
      <protection locked="0"/>
    </xf>
    <xf numFmtId="0" fontId="18" fillId="60" borderId="0">
      <alignment horizontal="left" indent="1"/>
      <protection locked="0"/>
    </xf>
    <xf numFmtId="0" fontId="91" fillId="42" borderId="36" applyNumberFormat="0" applyFont="0" applyAlignment="0" applyProtection="0"/>
    <xf numFmtId="0" fontId="91" fillId="42" borderId="36" applyNumberFormat="0" applyFont="0" applyAlignment="0" applyProtection="0"/>
    <xf numFmtId="0" fontId="13" fillId="0" borderId="0">
      <alignment horizontal="left" indent="1"/>
    </xf>
    <xf numFmtId="0" fontId="13" fillId="0" borderId="0">
      <alignment horizontal="left" indent="1"/>
    </xf>
    <xf numFmtId="0" fontId="13" fillId="0" borderId="0">
      <alignment horizontal="left" indent="1"/>
    </xf>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3" fontId="18" fillId="0" borderId="0">
      <alignment horizontal="right" indent="1"/>
    </xf>
    <xf numFmtId="166" fontId="18" fillId="0" borderId="0">
      <alignment horizontal="right" indent="1"/>
    </xf>
    <xf numFmtId="4" fontId="18" fillId="0" borderId="0">
      <alignment horizontal="right" indent="1"/>
    </xf>
    <xf numFmtId="182" fontId="18" fillId="0" borderId="0">
      <alignment horizontal="right" indent="1"/>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2" fontId="91" fillId="57" borderId="38" applyNumberFormat="0">
      <alignment vertical="center"/>
    </xf>
    <xf numFmtId="192" fontId="91" fillId="84" borderId="38" applyNumberFormat="0">
      <alignment vertical="center"/>
    </xf>
    <xf numFmtId="192" fontId="91" fillId="82" borderId="38" applyNumberFormat="0">
      <alignment vertical="center"/>
    </xf>
    <xf numFmtId="192" fontId="91" fillId="80" borderId="38" applyNumberFormat="0">
      <alignment vertical="center"/>
    </xf>
    <xf numFmtId="192" fontId="91" fillId="62" borderId="38" applyNumberFormat="0">
      <alignment vertical="center"/>
    </xf>
    <xf numFmtId="192" fontId="91" fillId="53" borderId="38" applyNumberFormat="0">
      <alignment vertical="center"/>
    </xf>
    <xf numFmtId="192" fontId="91" fillId="65" borderId="38" applyNumberFormat="0">
      <alignment vertical="center"/>
    </xf>
    <xf numFmtId="192" fontId="91" fillId="85" borderId="38" applyNumberFormat="0">
      <alignment vertical="center"/>
    </xf>
    <xf numFmtId="192" fontId="91" fillId="69" borderId="38" applyNumberFormat="0">
      <alignment vertical="center"/>
    </xf>
    <xf numFmtId="192" fontId="91" fillId="86" borderId="38" applyNumberFormat="0">
      <alignment vertical="center"/>
    </xf>
    <xf numFmtId="192" fontId="92" fillId="60" borderId="38">
      <protection locked="0"/>
    </xf>
    <xf numFmtId="192" fontId="92" fillId="58" borderId="38">
      <protection locked="0"/>
    </xf>
    <xf numFmtId="192" fontId="93" fillId="58" borderId="39" applyNumberFormat="0" applyFont="0" applyFill="0" applyAlignment="0" applyProtection="0">
      <protection locked="0"/>
    </xf>
    <xf numFmtId="192" fontId="34" fillId="0" borderId="0" applyNumberFormat="0" applyFill="0">
      <alignment horizontal="left" vertical="top"/>
    </xf>
    <xf numFmtId="192" fontId="34" fillId="0" borderId="0" applyNumberFormat="0" applyFill="0">
      <alignment horizontal="left" vertical="top"/>
    </xf>
    <xf numFmtId="192" fontId="34" fillId="0" borderId="0" applyNumberFormat="0" applyFill="0">
      <alignment horizontal="left" vertical="top"/>
    </xf>
    <xf numFmtId="0" fontId="94" fillId="67" borderId="0" applyNumberFormat="0">
      <alignment horizontal="left" vertical="center" indent="1"/>
    </xf>
    <xf numFmtId="0" fontId="86" fillId="74" borderId="0" applyNumberFormat="0">
      <alignment vertical="center"/>
    </xf>
    <xf numFmtId="0" fontId="55" fillId="53" borderId="0">
      <alignment vertical="center"/>
    </xf>
    <xf numFmtId="0" fontId="87" fillId="0" borderId="34">
      <alignment vertical="center"/>
    </xf>
    <xf numFmtId="190" fontId="18" fillId="57" borderId="0">
      <alignment horizontal="right"/>
    </xf>
    <xf numFmtId="0" fontId="48" fillId="81" borderId="23" applyNumberFormat="0" applyAlignment="0" applyProtection="0"/>
    <xf numFmtId="0" fontId="48" fillId="81" borderId="23" applyNumberFormat="0" applyAlignment="0" applyProtection="0"/>
    <xf numFmtId="191" fontId="28" fillId="81" borderId="0">
      <alignment horizontal="right"/>
    </xf>
    <xf numFmtId="0" fontId="95" fillId="87" borderId="0">
      <alignment horizontal="center"/>
    </xf>
    <xf numFmtId="0" fontId="79" fillId="88" borderId="0"/>
    <xf numFmtId="0" fontId="96" fillId="81" borderId="0" applyBorder="0">
      <alignment horizontal="centerContinuous"/>
    </xf>
    <xf numFmtId="0" fontId="97" fillId="88" borderId="0" applyBorder="0">
      <alignment horizontal="centerContinuous"/>
    </xf>
    <xf numFmtId="9" fontId="18" fillId="0" borderId="0">
      <alignment horizontal="right" indent="1"/>
    </xf>
    <xf numFmtId="164" fontId="18" fillId="0" borderId="0">
      <alignment horizontal="right" indent="1"/>
    </xf>
    <xf numFmtId="10" fontId="18" fillId="0" borderId="0">
      <alignment horizontal="right" indent="1"/>
    </xf>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53" borderId="0">
      <protection locked="0"/>
    </xf>
    <xf numFmtId="0" fontId="18" fillId="53" borderId="0">
      <protection locked="0"/>
    </xf>
    <xf numFmtId="0" fontId="18" fillId="53" borderId="0">
      <protection locked="0"/>
    </xf>
    <xf numFmtId="0" fontId="18" fillId="53" borderId="0">
      <protection locked="0"/>
    </xf>
    <xf numFmtId="0" fontId="18" fillId="53" borderId="0">
      <protection locked="0"/>
    </xf>
    <xf numFmtId="0" fontId="55" fillId="0" borderId="0">
      <alignment horizontal="left" indent="1"/>
    </xf>
    <xf numFmtId="0" fontId="75" fillId="0" borderId="0">
      <alignment horizontal="left" indent="1"/>
    </xf>
    <xf numFmtId="0" fontId="57" fillId="53" borderId="9">
      <alignment horizontal="center" vertical="center" wrapText="1"/>
    </xf>
    <xf numFmtId="0" fontId="98" fillId="89" borderId="29">
      <alignment vertical="top" wrapText="1"/>
    </xf>
    <xf numFmtId="164" fontId="18" fillId="72" borderId="9"/>
    <xf numFmtId="0" fontId="25" fillId="0" borderId="0">
      <alignment horizontal="left"/>
    </xf>
    <xf numFmtId="41" fontId="18" fillId="0" borderId="0" applyFont="0" applyFill="0" applyBorder="0" applyAlignment="0" applyProtection="0"/>
    <xf numFmtId="41" fontId="18" fillId="0" borderId="0" applyFont="0" applyFill="0" applyBorder="0" applyAlignment="0" applyProtection="0"/>
    <xf numFmtId="0" fontId="20" fillId="0" borderId="0">
      <alignment vertical="top"/>
    </xf>
    <xf numFmtId="191" fontId="78" fillId="80" borderId="40"/>
    <xf numFmtId="0" fontId="78" fillId="60" borderId="9"/>
    <xf numFmtId="0" fontId="99" fillId="0" borderId="0" applyNumberFormat="0" applyFill="0" applyBorder="0" applyAlignment="0" applyProtection="0"/>
    <xf numFmtId="0" fontId="99" fillId="0" borderId="0" applyNumberFormat="0" applyFill="0" applyBorder="0" applyAlignment="0" applyProtection="0"/>
    <xf numFmtId="0" fontId="50" fillId="0" borderId="41" applyNumberFormat="0" applyFill="0" applyAlignment="0" applyProtection="0"/>
    <xf numFmtId="0" fontId="50" fillId="0" borderId="41" applyNumberFormat="0" applyFill="0" applyAlignment="0" applyProtection="0"/>
    <xf numFmtId="184" fontId="78" fillId="80" borderId="9"/>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7"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7"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5" fillId="0" borderId="0"/>
    <xf numFmtId="0" fontId="18" fillId="0" borderId="0"/>
    <xf numFmtId="0" fontId="18" fillId="0" borderId="0"/>
    <xf numFmtId="0" fontId="102" fillId="0" borderId="0"/>
    <xf numFmtId="0" fontId="105" fillId="0" borderId="0"/>
    <xf numFmtId="0" fontId="105"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7" fillId="0" borderId="0"/>
    <xf numFmtId="0" fontId="102" fillId="0" borderId="0"/>
    <xf numFmtId="0" fontId="102"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02" fillId="0" borderId="0"/>
    <xf numFmtId="180" fontId="18" fillId="0" borderId="0"/>
    <xf numFmtId="180" fontId="18" fillId="0" borderId="0"/>
    <xf numFmtId="180" fontId="18" fillId="0" borderId="0"/>
    <xf numFmtId="180" fontId="18"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7"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7" fillId="0" borderId="0"/>
    <xf numFmtId="0" fontId="17" fillId="0" borderId="0"/>
    <xf numFmtId="0" fontId="17"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6" fillId="42" borderId="0" applyNumberFormat="0" applyBorder="0" applyAlignment="0" applyProtection="0"/>
    <xf numFmtId="0" fontId="106" fillId="11" borderId="0" applyNumberFormat="0" applyBorder="0" applyAlignment="0" applyProtection="0"/>
    <xf numFmtId="0" fontId="36" fillId="39" borderId="0" applyNumberFormat="0" applyBorder="0" applyAlignment="0" applyProtection="0"/>
    <xf numFmtId="0" fontId="106" fillId="15" borderId="0" applyNumberFormat="0" applyBorder="0" applyAlignment="0" applyProtection="0"/>
    <xf numFmtId="0" fontId="36" fillId="40" borderId="0" applyNumberFormat="0" applyBorder="0" applyAlignment="0" applyProtection="0"/>
    <xf numFmtId="0" fontId="106" fillId="19" borderId="0" applyNumberFormat="0" applyBorder="0" applyAlignment="0" applyProtection="0"/>
    <xf numFmtId="0" fontId="36" fillId="43" borderId="0" applyNumberFormat="0" applyBorder="0" applyAlignment="0" applyProtection="0"/>
    <xf numFmtId="0" fontId="106" fillId="23" borderId="0" applyNumberFormat="0" applyBorder="0" applyAlignment="0" applyProtection="0"/>
    <xf numFmtId="0" fontId="36" fillId="45" borderId="0" applyNumberFormat="0" applyBorder="0" applyAlignment="0" applyProtection="0"/>
    <xf numFmtId="0" fontId="106" fillId="27" borderId="0" applyNumberFormat="0" applyBorder="0" applyAlignment="0" applyProtection="0"/>
    <xf numFmtId="0" fontId="36" fillId="46" borderId="0" applyNumberFormat="0" applyBorder="0" applyAlignment="0" applyProtection="0"/>
    <xf numFmtId="0" fontId="106" fillId="31" borderId="0" applyNumberFormat="0" applyBorder="0" applyAlignment="0" applyProtection="0"/>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06" fillId="8" borderId="0" applyNumberFormat="0" applyBorder="0" applyAlignment="0" applyProtection="0"/>
    <xf numFmtId="0" fontId="36" fillId="48" borderId="0" applyNumberFormat="0" applyBorder="0" applyAlignment="0" applyProtection="0"/>
    <xf numFmtId="0" fontId="106" fillId="12" borderId="0" applyNumberFormat="0" applyBorder="0" applyAlignment="0" applyProtection="0"/>
    <xf numFmtId="0" fontId="36" fillId="49" borderId="0" applyNumberFormat="0" applyBorder="0" applyAlignment="0" applyProtection="0"/>
    <xf numFmtId="0" fontId="106" fillId="16" borderId="0" applyNumberFormat="0" applyBorder="0" applyAlignment="0" applyProtection="0"/>
    <xf numFmtId="0" fontId="36" fillId="43" borderId="0" applyNumberFormat="0" applyBorder="0" applyAlignment="0" applyProtection="0"/>
    <xf numFmtId="0" fontId="106" fillId="20" borderId="0" applyNumberFormat="0" applyBorder="0" applyAlignment="0" applyProtection="0"/>
    <xf numFmtId="0" fontId="36" fillId="45" borderId="0" applyNumberFormat="0" applyBorder="0" applyAlignment="0" applyProtection="0"/>
    <xf numFmtId="0" fontId="106" fillId="24" borderId="0" applyNumberFormat="0" applyBorder="0" applyAlignment="0" applyProtection="0"/>
    <xf numFmtId="0" fontId="36" fillId="50" borderId="0" applyNumberFormat="0" applyBorder="0" applyAlignment="0" applyProtection="0"/>
    <xf numFmtId="0" fontId="106" fillId="28"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107" fillId="3" borderId="0" applyNumberFormat="0" applyBorder="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9" fillId="52" borderId="13" applyNumberFormat="0" applyAlignment="0" applyProtection="0"/>
    <xf numFmtId="0" fontId="108" fillId="6" borderId="4" applyNumberFormat="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4" fillId="0" borderId="0" applyFont="0" applyFill="0" applyBorder="0" applyAlignment="0" applyProtection="0"/>
    <xf numFmtId="43" fontId="102" fillId="0" borderId="0" applyFont="0" applyFill="0" applyBorder="0" applyAlignment="0" applyProtection="0"/>
    <xf numFmtId="43" fontId="16"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44" fontId="16" fillId="0" borderId="0" applyFon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1" fillId="34" borderId="0" applyNumberFormat="0" applyBorder="0" applyAlignment="0" applyProtection="0"/>
    <xf numFmtId="179" fontId="18" fillId="0" borderId="0" applyFont="0" applyFill="0" applyBorder="0" applyAlignment="0" applyProtection="0"/>
    <xf numFmtId="0" fontId="40" fillId="0" borderId="0" applyNumberFormat="0" applyFill="0" applyBorder="0" applyAlignment="0" applyProtection="0"/>
    <xf numFmtId="0" fontId="109" fillId="0" borderId="0" applyNumberFormat="0" applyFill="0" applyBorder="0" applyAlignment="0" applyProtection="0"/>
    <xf numFmtId="0" fontId="41" fillId="34" borderId="0" applyNumberFormat="0" applyBorder="0" applyAlignment="0" applyProtection="0"/>
    <xf numFmtId="0" fontId="110" fillId="2" borderId="0" applyNumberFormat="0" applyBorder="0" applyAlignment="0" applyProtection="0"/>
    <xf numFmtId="0" fontId="42" fillId="0" borderId="16" applyNumberFormat="0" applyFill="0" applyAlignment="0" applyProtection="0"/>
    <xf numFmtId="0" fontId="111" fillId="0" borderId="30" applyNumberFormat="0" applyFill="0" applyAlignment="0" applyProtection="0"/>
    <xf numFmtId="0" fontId="43" fillId="0" borderId="17" applyNumberFormat="0" applyFill="0" applyAlignment="0" applyProtection="0"/>
    <xf numFmtId="0" fontId="112" fillId="0" borderId="31"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13" fillId="0" borderId="1"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6" fillId="0" borderId="21" applyNumberFormat="0" applyFill="0" applyAlignment="0" applyProtection="0"/>
    <xf numFmtId="0" fontId="39" fillId="52" borderId="13" applyNumberFormat="0" applyAlignment="0" applyProtection="0"/>
    <xf numFmtId="0" fontId="46" fillId="0" borderId="21" applyNumberFormat="0" applyFill="0" applyAlignment="0" applyProtection="0"/>
    <xf numFmtId="0" fontId="119" fillId="0" borderId="3"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47" fillId="44" borderId="0" applyNumberFormat="0" applyBorder="0" applyAlignment="0" applyProtection="0"/>
    <xf numFmtId="0" fontId="120" fillId="4" borderId="0" applyNumberFormat="0" applyBorder="0" applyAlignment="0" applyProtection="0"/>
    <xf numFmtId="0" fontId="47"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02"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02"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7" fillId="0" borderId="0"/>
    <xf numFmtId="197" fontId="17" fillId="0" borderId="0"/>
    <xf numFmtId="0" fontId="102" fillId="0" borderId="0"/>
    <xf numFmtId="0" fontId="102"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7" fontId="17" fillId="0" borderId="0"/>
    <xf numFmtId="197" fontId="17" fillId="0" borderId="0"/>
    <xf numFmtId="0" fontId="102" fillId="0" borderId="0"/>
    <xf numFmtId="0" fontId="1" fillId="0" borderId="0"/>
    <xf numFmtId="0" fontId="17" fillId="0" borderId="0"/>
    <xf numFmtId="196" fontId="17" fillId="0" borderId="0"/>
    <xf numFmtId="0" fontId="16"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0" fontId="121" fillId="0" borderId="0"/>
    <xf numFmtId="0" fontId="18" fillId="0" borderId="0"/>
    <xf numFmtId="0" fontId="1" fillId="0" borderId="0"/>
    <xf numFmtId="0" fontId="16" fillId="0" borderId="0"/>
    <xf numFmtId="0" fontId="18" fillId="0" borderId="0"/>
    <xf numFmtId="196" fontId="18" fillId="0" borderId="0"/>
    <xf numFmtId="0" fontId="1" fillId="0" borderId="0"/>
    <xf numFmtId="0" fontId="1" fillId="0" borderId="0"/>
    <xf numFmtId="0" fontId="1" fillId="0" borderId="0"/>
    <xf numFmtId="0" fontId="121" fillId="0" borderId="0"/>
    <xf numFmtId="196" fontId="18" fillId="0" borderId="0"/>
    <xf numFmtId="196" fontId="18" fillId="0" borderId="0"/>
    <xf numFmtId="196" fontId="18" fillId="0" borderId="0"/>
    <xf numFmtId="196" fontId="18" fillId="0" borderId="0"/>
    <xf numFmtId="0" fontId="17"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8" fillId="0" borderId="0"/>
    <xf numFmtId="197" fontId="18" fillId="0" borderId="0"/>
    <xf numFmtId="0" fontId="17" fillId="0" borderId="0"/>
    <xf numFmtId="0" fontId="102" fillId="0" borderId="0"/>
    <xf numFmtId="0" fontId="102" fillId="0" borderId="0"/>
    <xf numFmtId="0" fontId="102" fillId="0" borderId="0"/>
    <xf numFmtId="0" fontId="102" fillId="0" borderId="0"/>
    <xf numFmtId="0" fontId="102" fillId="0" borderId="0"/>
    <xf numFmtId="0" fontId="104"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28" fillId="0" borderId="0"/>
    <xf numFmtId="0" fontId="102" fillId="0" borderId="0"/>
    <xf numFmtId="196" fontId="18" fillId="0" borderId="0"/>
    <xf numFmtId="196" fontId="18" fillId="0" borderId="0"/>
    <xf numFmtId="0" fontId="102" fillId="0" borderId="0"/>
    <xf numFmtId="0" fontId="102" fillId="0" borderId="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8" fillId="0" borderId="0"/>
    <xf numFmtId="0" fontId="18"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02" fillId="0" borderId="0"/>
    <xf numFmtId="0" fontId="16" fillId="0" borderId="0"/>
    <xf numFmtId="0" fontId="102" fillId="0" borderId="0"/>
    <xf numFmtId="0" fontId="102"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196"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122" fillId="5" borderId="2"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40"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123"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124" fillId="0" borderId="6" applyNumberFormat="0" applyFill="0" applyAlignment="0" applyProtection="0"/>
    <xf numFmtId="0" fontId="49" fillId="0" borderId="0" applyNumberFormat="0" applyFill="0" applyBorder="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37" fillId="33" borderId="0" applyNumberFormat="0" applyBorder="0" applyAlignment="0" applyProtection="0"/>
    <xf numFmtId="43" fontId="1" fillId="0" borderId="0" applyFont="0" applyFill="0" applyBorder="0" applyAlignment="0" applyProtection="0"/>
    <xf numFmtId="0" fontId="1" fillId="0" borderId="0"/>
    <xf numFmtId="9" fontId="126" fillId="0" borderId="0">
      <alignment horizontal="right"/>
    </xf>
    <xf numFmtId="0" fontId="18" fillId="0" borderId="0"/>
    <xf numFmtId="0" fontId="91" fillId="0" borderId="0"/>
    <xf numFmtId="0" fontId="102" fillId="0" borderId="0"/>
    <xf numFmtId="0" fontId="18" fillId="0" borderId="0"/>
    <xf numFmtId="0" fontId="91"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199" fontId="127" fillId="0" borderId="0">
      <alignment horizontal="right" vertical="top"/>
    </xf>
    <xf numFmtId="0" fontId="128" fillId="55"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3" borderId="0" applyNumberFormat="0" applyBorder="0" applyAlignment="0" applyProtection="0"/>
    <xf numFmtId="0" fontId="17" fillId="91"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28" fillId="5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9"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95"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1"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9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9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20" fillId="0" borderId="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45"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48"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36" fillId="49"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106" borderId="0" applyNumberFormat="0" applyBorder="0" applyAlignment="0" applyProtection="0"/>
    <xf numFmtId="0" fontId="36" fillId="50"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20" fillId="0" borderId="0"/>
    <xf numFmtId="1" fontId="18" fillId="107" borderId="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200" fontId="20" fillId="0" borderId="0"/>
    <xf numFmtId="201" fontId="20" fillId="0" borderId="0"/>
    <xf numFmtId="202" fontId="20" fillId="0" borderId="0"/>
    <xf numFmtId="200"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3" fontId="20" fillId="0" borderId="0"/>
    <xf numFmtId="204" fontId="20" fillId="0" borderId="0"/>
    <xf numFmtId="205" fontId="20" fillId="0" borderId="0"/>
    <xf numFmtId="203"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6" fontId="20" fillId="0" borderId="0">
      <alignment horizontal="right"/>
      <protection locked="0"/>
    </xf>
    <xf numFmtId="207" fontId="20" fillId="0" borderId="0">
      <alignment horizontal="right"/>
      <protection locked="0"/>
    </xf>
    <xf numFmtId="208" fontId="20" fillId="0" borderId="0"/>
    <xf numFmtId="209" fontId="20" fillId="0" borderId="0"/>
    <xf numFmtId="210" fontId="20" fillId="0" borderId="0"/>
    <xf numFmtId="208"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9" fillId="6" borderId="4" applyNumberFormat="0" applyAlignment="0" applyProtection="0"/>
    <xf numFmtId="0" fontId="131" fillId="108" borderId="4"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43" fontId="16" fillId="0" borderId="0" applyFont="0" applyFill="0" applyBorder="0" applyAlignment="0" applyProtection="0"/>
    <xf numFmtId="43" fontId="1" fillId="0" borderId="0" applyFont="0" applyFill="0" applyBorder="0" applyAlignment="0" applyProtection="0"/>
    <xf numFmtId="181" fontId="12" fillId="0" borderId="0" applyFont="0" applyFill="0" applyBorder="0" applyAlignment="0" applyProtection="0"/>
    <xf numFmtId="44" fontId="1" fillId="0" borderId="0" applyFont="0" applyFill="0" applyBorder="0" applyAlignment="0" applyProtection="0"/>
    <xf numFmtId="44" fontId="10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9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9" fontId="132" fillId="98" borderId="0">
      <alignment vertical="center"/>
    </xf>
    <xf numFmtId="49" fontId="132" fillId="99" borderId="0">
      <alignment vertical="center"/>
    </xf>
    <xf numFmtId="200"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43">
      <protection locked="0"/>
    </xf>
    <xf numFmtId="203"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43">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49" fontId="20" fillId="80" borderId="43">
      <alignment horizontal="left" vertical="top" wrapText="1"/>
      <protection locked="0"/>
    </xf>
    <xf numFmtId="49" fontId="20" fillId="80" borderId="43">
      <alignment horizontal="left" vertical="top" wrapText="1"/>
      <protection locked="0"/>
    </xf>
    <xf numFmtId="49" fontId="20" fillId="80" borderId="43">
      <alignment horizontal="left" vertical="top" wrapText="1"/>
      <protection locked="0"/>
    </xf>
    <xf numFmtId="208"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43">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211" fontId="20" fillId="60" borderId="43">
      <alignment horizontal="left" indent="1"/>
      <protection locked="0"/>
    </xf>
    <xf numFmtId="211" fontId="20" fillId="60" borderId="43">
      <alignment horizontal="left" indent="1"/>
      <protection locked="0"/>
    </xf>
    <xf numFmtId="211" fontId="20" fillId="60" borderId="43">
      <alignment horizontal="left" indent="1"/>
      <protection locked="0"/>
    </xf>
    <xf numFmtId="2" fontId="133" fillId="60" borderId="9">
      <protection locked="0"/>
    </xf>
    <xf numFmtId="16" fontId="28" fillId="0" borderId="0" applyFont="0" applyFill="0" applyBorder="0" applyAlignment="0" applyProtection="0"/>
    <xf numFmtId="15" fontId="28" fillId="0" borderId="0" applyFont="0" applyFill="0" applyBorder="0" applyAlignment="0" applyProtection="0"/>
    <xf numFmtId="17" fontId="28" fillId="0" borderId="0" applyFont="0" applyFill="0" applyBorder="0" applyAlignment="0" applyProtection="0"/>
    <xf numFmtId="212" fontId="13" fillId="78" borderId="0">
      <alignment horizontal="right"/>
    </xf>
    <xf numFmtId="15" fontId="134" fillId="109" borderId="0" applyNumberFormat="0" applyFont="0" applyBorder="0" applyAlignment="0" applyProtection="0"/>
    <xf numFmtId="199" fontId="135" fillId="74" borderId="0">
      <alignment horizontal="righ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2" fillId="110" borderId="0">
      <alignment horizontal="right" vertical="center"/>
    </xf>
    <xf numFmtId="0" fontId="132" fillId="89" borderId="0">
      <alignment horizontal="right" vertical="center"/>
    </xf>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83" fillId="111"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3" borderId="0">
      <alignment vertical="center"/>
    </xf>
    <xf numFmtId="0" fontId="136" fillId="113" borderId="0">
      <alignment vertical="center"/>
    </xf>
    <xf numFmtId="0" fontId="136" fillId="113" borderId="0">
      <alignment vertical="center"/>
    </xf>
    <xf numFmtId="0" fontId="137" fillId="0" borderId="44" applyNumberFormat="0" applyFill="0" applyAlignment="0" applyProtection="0"/>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8" fillId="53" borderId="0">
      <alignment vertical="center"/>
    </xf>
    <xf numFmtId="0" fontId="138" fillId="53" borderId="0">
      <alignment vertical="center"/>
    </xf>
    <xf numFmtId="0" fontId="139" fillId="0" borderId="45" applyNumberFormat="0" applyFill="0" applyAlignment="0" applyProtection="0"/>
    <xf numFmtId="0" fontId="138" fillId="53" borderId="0">
      <alignment vertical="center"/>
    </xf>
    <xf numFmtId="0" fontId="138" fillId="53" borderId="0">
      <alignment vertical="center"/>
    </xf>
    <xf numFmtId="0" fontId="138" fillId="53" borderId="0">
      <alignment vertical="center"/>
    </xf>
    <xf numFmtId="0" fontId="138" fillId="53" borderId="0">
      <alignment vertical="center"/>
    </xf>
    <xf numFmtId="0" fontId="140" fillId="0" borderId="0"/>
    <xf numFmtId="0" fontId="140" fillId="0" borderId="0"/>
    <xf numFmtId="0" fontId="141" fillId="0" borderId="11" applyNumberFormat="0" applyFill="0" applyAlignment="0" applyProtection="0"/>
    <xf numFmtId="0" fontId="140" fillId="0" borderId="0"/>
    <xf numFmtId="0" fontId="140" fillId="0" borderId="0"/>
    <xf numFmtId="0" fontId="140" fillId="0" borderId="0"/>
    <xf numFmtId="0" fontId="140" fillId="0" borderId="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1" fillId="0" borderId="0" applyNumberFormat="0" applyFill="0" applyBorder="0" applyAlignment="0" applyProtection="0"/>
    <xf numFmtId="1" fontId="18" fillId="60" borderId="0"/>
    <xf numFmtId="1" fontId="18" fillId="60" borderId="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45" fillId="97" borderId="12" applyNumberFormat="0" applyAlignment="0" applyProtection="0"/>
    <xf numFmtId="1" fontId="18" fillId="60" borderId="0"/>
    <xf numFmtId="1" fontId="18" fillId="60" borderId="0"/>
    <xf numFmtId="1" fontId="18" fillId="60" borderId="0"/>
    <xf numFmtId="1" fontId="18" fillId="60" borderId="0"/>
    <xf numFmtId="0" fontId="149" fillId="0" borderId="0">
      <alignment horizontal="left" indent="1"/>
    </xf>
    <xf numFmtId="0" fontId="150" fillId="0" borderId="0"/>
    <xf numFmtId="0" fontId="151" fillId="0" borderId="0">
      <alignment horizontal="center"/>
    </xf>
    <xf numFmtId="0" fontId="23" fillId="0" borderId="20" applyProtection="0">
      <alignment horizontal="center"/>
      <protection locked="0"/>
    </xf>
    <xf numFmtId="0" fontId="152" fillId="0" borderId="46" applyNumberFormat="0" applyFill="0" applyAlignment="0" applyProtection="0"/>
    <xf numFmtId="0" fontId="152" fillId="0" borderId="46"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32" fillId="114" borderId="0">
      <alignment horizontal="right" vertical="center"/>
    </xf>
    <xf numFmtId="0" fontId="132" fillId="90" borderId="0">
      <alignment horizontal="right" vertical="center"/>
    </xf>
    <xf numFmtId="49" fontId="153" fillId="98" borderId="0">
      <alignment horizontal="centerContinuous" vertical="center"/>
    </xf>
    <xf numFmtId="49" fontId="153" fillId="99" borderId="0">
      <alignment horizontal="centerContinuous" vertical="center"/>
    </xf>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8" fillId="0" borderId="0" applyNumberFormat="0" applyFont="0" applyFill="0" applyBorder="0" applyAlignment="0" applyProtection="0"/>
    <xf numFmtId="0" fontId="1" fillId="0" borderId="0"/>
    <xf numFmtId="0" fontId="16" fillId="0" borderId="0"/>
    <xf numFmtId="0" fontId="16" fillId="0" borderId="0"/>
    <xf numFmtId="0" fontId="18" fillId="0" borderId="0" applyNumberFormat="0" applyFont="0" applyFill="0" applyBorder="0" applyAlignment="0" applyProtection="0"/>
    <xf numFmtId="0" fontId="103" fillId="0" borderId="0"/>
    <xf numFmtId="214" fontId="28" fillId="0" borderId="0" applyFont="0" applyFill="0" applyBorder="0" applyAlignment="0" applyProtection="0"/>
    <xf numFmtId="215" fontId="28"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54" fillId="78" borderId="0">
      <alignment horizontal="left" vertical="top" wrapText="1"/>
    </xf>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9" fontId="1" fillId="0" borderId="0" applyFont="0" applyFill="0" applyBorder="0" applyAlignment="0" applyProtection="0"/>
    <xf numFmtId="9" fontId="28" fillId="0" borderId="0" applyFont="0" applyFill="0" applyBorder="0" applyAlignment="0" applyProtection="0"/>
    <xf numFmtId="200" fontId="155" fillId="0" borderId="0">
      <alignment horizontal="right"/>
    </xf>
    <xf numFmtId="199" fontId="156" fillId="74" borderId="0">
      <alignment horizontal="right"/>
    </xf>
    <xf numFmtId="0" fontId="132" fillId="98" borderId="0">
      <alignment horizontal="right" vertical="center"/>
    </xf>
    <xf numFmtId="0" fontId="132" fillId="99" borderId="0">
      <alignment horizontal="right" vertical="center"/>
    </xf>
    <xf numFmtId="0" fontId="157" fillId="0" borderId="47" applyFill="0" applyProtection="0">
      <alignment horizontal="right" wrapText="1"/>
    </xf>
    <xf numFmtId="0" fontId="157" fillId="0" borderId="0" applyFill="0" applyProtection="0">
      <alignment wrapText="1"/>
    </xf>
    <xf numFmtId="0" fontId="29" fillId="57" borderId="8">
      <alignment horizontal="center"/>
    </xf>
    <xf numFmtId="0" fontId="29" fillId="57" borderId="8">
      <alignment horizontal="center"/>
    </xf>
    <xf numFmtId="0" fontId="29" fillId="57" borderId="8">
      <alignment horizontal="center"/>
    </xf>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198" fontId="18" fillId="0" borderId="0" applyAlignment="0">
      <alignment horizontal="left"/>
    </xf>
    <xf numFmtId="0" fontId="1" fillId="0" borderId="0"/>
    <xf numFmtId="49" fontId="28" fillId="0" borderId="0" applyFont="0" applyFill="0" applyBorder="0" applyAlignment="0" applyProtection="0"/>
    <xf numFmtId="0" fontId="1" fillId="0" borderId="0"/>
    <xf numFmtId="0" fontId="32" fillId="78" borderId="0"/>
    <xf numFmtId="0" fontId="32" fillId="74" borderId="0"/>
    <xf numFmtId="0" fontId="1" fillId="0" borderId="0"/>
    <xf numFmtId="0" fontId="13" fillId="78" borderId="0">
      <alignment horizontal="left"/>
    </xf>
    <xf numFmtId="0" fontId="13" fillId="74" borderId="0">
      <alignment horizontal="left"/>
    </xf>
    <xf numFmtId="0" fontId="1" fillId="0" borderId="0"/>
    <xf numFmtId="0" fontId="13" fillId="78" borderId="0">
      <alignment horizontal="left" indent="1"/>
    </xf>
    <xf numFmtId="0" fontId="13" fillId="74" borderId="0">
      <alignment horizontal="left" indent="1"/>
    </xf>
    <xf numFmtId="0" fontId="1" fillId="0" borderId="0"/>
    <xf numFmtId="0" fontId="13" fillId="78" borderId="0">
      <alignment horizontal="left" vertical="center" indent="2"/>
    </xf>
    <xf numFmtId="0" fontId="13" fillId="74" borderId="0">
      <alignment horizontal="left" vertical="center" indent="2"/>
    </xf>
    <xf numFmtId="0" fontId="1" fillId="0" borderId="0"/>
    <xf numFmtId="49" fontId="158" fillId="0" borderId="0" applyFill="0" applyBorder="0" applyProtection="0">
      <alignment horizontal="center" vertical="top"/>
    </xf>
    <xf numFmtId="0" fontId="1" fillId="0" borderId="0"/>
    <xf numFmtId="0" fontId="27" fillId="0" borderId="0">
      <alignment horizontal="center"/>
    </xf>
    <xf numFmtId="0" fontId="1" fillId="0" borderId="0"/>
    <xf numFmtId="15" fontId="27" fillId="0" borderId="0">
      <alignment horizontal="center"/>
    </xf>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49" fontId="68" fillId="74" borderId="0"/>
    <xf numFmtId="0" fontId="1" fillId="0" borderId="0"/>
    <xf numFmtId="0" fontId="161" fillId="0" borderId="0" applyNumberFormat="0" applyFill="0" applyBorder="0" applyAlignment="0" applyProtection="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36" fillId="107" borderId="48"/>
    <xf numFmtId="0" fontId="1" fillId="0" borderId="0"/>
    <xf numFmtId="0" fontId="86" fillId="107" borderId="49">
      <alignment horizontal="left"/>
    </xf>
    <xf numFmtId="0" fontId="1" fillId="0" borderId="0"/>
    <xf numFmtId="22" fontId="20" fillId="53" borderId="49">
      <alignment vertical="center"/>
    </xf>
    <xf numFmtId="0" fontId="1" fillId="0" borderId="0"/>
    <xf numFmtId="0" fontId="20" fillId="53" borderId="49">
      <alignment horizontal="left" vertical="top" wrapText="1"/>
    </xf>
    <xf numFmtId="0" fontId="1" fillId="0" borderId="0"/>
    <xf numFmtId="0" fontId="20" fillId="53" borderId="50"/>
    <xf numFmtId="0" fontId="1" fillId="0" borderId="0"/>
    <xf numFmtId="0" fontId="20" fillId="53" borderId="5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4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49" fontId="158" fillId="40" borderId="0" applyNumberFormat="0" applyFont="0" applyBorder="0" applyAlignment="0" applyProtection="0">
      <alignment horizontal="center"/>
    </xf>
    <xf numFmtId="49" fontId="158" fillId="70" borderId="0" applyNumberFormat="0" applyFont="0" applyBorder="0" applyAlignment="0" applyProtection="0">
      <alignment horizontal="center"/>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218" fontId="134" fillId="0" borderId="0" applyFont="0" applyFill="0" applyBorder="0" applyAlignment="0" applyProtection="0"/>
    <xf numFmtId="0" fontId="1" fillId="0" borderId="0"/>
    <xf numFmtId="0" fontId="18" fillId="80" borderId="9">
      <protection locked="0"/>
    </xf>
    <xf numFmtId="195" fontId="18" fillId="0" borderId="33">
      <protection locked="0"/>
    </xf>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4" fontId="78" fillId="80" borderId="9"/>
    <xf numFmtId="184" fontId="78" fillId="80" borderId="9"/>
    <xf numFmtId="184" fontId="78" fillId="80" borderId="9"/>
    <xf numFmtId="184" fontId="78" fillId="80" borderId="9"/>
    <xf numFmtId="184" fontId="78" fillId="80" borderId="9"/>
    <xf numFmtId="183" fontId="80" fillId="60" borderId="9"/>
    <xf numFmtId="184" fontId="78" fillId="80" borderId="9"/>
    <xf numFmtId="195" fontId="18" fillId="0" borderId="33">
      <protection locked="0"/>
    </xf>
    <xf numFmtId="187" fontId="78" fillId="70" borderId="9" applyNumberFormat="0" applyFont="0" applyBorder="0" applyAlignment="0"/>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4" fontId="81" fillId="58" borderId="9"/>
    <xf numFmtId="0" fontId="91" fillId="42" borderId="36" applyNumberFormat="0" applyFont="0" applyAlignment="0" applyProtection="0"/>
    <xf numFmtId="0" fontId="91" fillId="42" borderId="36" applyNumberFormat="0" applyFont="0" applyAlignment="0" applyProtection="0"/>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0" fontId="48" fillId="81" borderId="23" applyNumberFormat="0" applyAlignment="0" applyProtection="0"/>
    <xf numFmtId="0" fontId="48" fillId="81" borderId="23" applyNumberFormat="0" applyAlignment="0" applyProtection="0"/>
    <xf numFmtId="0" fontId="57" fillId="53" borderId="9">
      <alignment horizontal="center" vertical="center" wrapText="1"/>
    </xf>
    <xf numFmtId="0" fontId="50" fillId="0" borderId="41" applyNumberFormat="0" applyFill="0" applyAlignment="0" applyProtection="0"/>
    <xf numFmtId="0" fontId="50" fillId="0" borderId="41" applyNumberFormat="0" applyFill="0" applyAlignment="0" applyProtection="0"/>
    <xf numFmtId="0" fontId="1" fillId="0" borderId="0"/>
    <xf numFmtId="0" fontId="1" fillId="0" borderId="0"/>
    <xf numFmtId="0" fontId="16" fillId="0" borderId="0"/>
    <xf numFmtId="0" fontId="91" fillId="42" borderId="36" applyNumberFormat="0" applyFont="0" applyAlignment="0" applyProtection="0"/>
    <xf numFmtId="0" fontId="91" fillId="42" borderId="36" applyNumberFormat="0" applyFont="0" applyAlignment="0" applyProtection="0"/>
    <xf numFmtId="0" fontId="48" fillId="81" borderId="23" applyNumberFormat="0" applyAlignment="0" applyProtection="0"/>
    <xf numFmtId="0" fontId="48" fillId="81" borderId="23" applyNumberFormat="0" applyAlignment="0" applyProtection="0"/>
    <xf numFmtId="0" fontId="50" fillId="0" borderId="41" applyNumberFormat="0" applyFill="0" applyAlignment="0" applyProtection="0"/>
    <xf numFmtId="0" fontId="50" fillId="0" borderId="41" applyNumberFormat="0" applyFill="0" applyAlignment="0" applyProtection="0"/>
    <xf numFmtId="0" fontId="18" fillId="80" borderId="9">
      <protection locked="0"/>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84" fontId="78" fillId="80" borderId="9"/>
    <xf numFmtId="184" fontId="78" fillId="80" borderId="9"/>
    <xf numFmtId="184" fontId="78" fillId="80" borderId="9"/>
    <xf numFmtId="184" fontId="78" fillId="80" borderId="9"/>
    <xf numFmtId="184" fontId="78" fillId="80" borderId="9"/>
    <xf numFmtId="184" fontId="78" fillId="80" borderId="9"/>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80" borderId="9">
      <protection locked="0"/>
    </xf>
    <xf numFmtId="0" fontId="18" fillId="80" borderId="9">
      <protection locked="0"/>
    </xf>
    <xf numFmtId="184" fontId="78" fillId="80" borderId="9"/>
    <xf numFmtId="184" fontId="78" fillId="80" borderId="9"/>
    <xf numFmtId="184" fontId="78" fillId="80" borderId="9"/>
    <xf numFmtId="184" fontId="78" fillId="80" borderId="9"/>
    <xf numFmtId="184" fontId="78" fillId="80" borderId="9"/>
    <xf numFmtId="184" fontId="78" fillId="80" borderId="9"/>
    <xf numFmtId="41" fontId="18"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 fillId="0" borderId="0"/>
    <xf numFmtId="0" fontId="16" fillId="0" borderId="0"/>
    <xf numFmtId="184" fontId="78" fillId="80" borderId="9"/>
    <xf numFmtId="184" fontId="78" fillId="80" borderId="9"/>
    <xf numFmtId="184" fontId="78" fillId="80" borderId="9"/>
    <xf numFmtId="184" fontId="78" fillId="80" borderId="9"/>
    <xf numFmtId="184" fontId="78" fillId="80" borderId="9"/>
    <xf numFmtId="184" fontId="78" fillId="80" borderId="9"/>
    <xf numFmtId="43" fontId="18" fillId="0" borderId="0" applyFont="0" applyFill="0" applyBorder="0" applyAlignment="0" applyProtection="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43" fontId="18" fillId="0" borderId="0" applyFont="0" applyFill="0" applyBorder="0" applyAlignment="0" applyProtection="0"/>
    <xf numFmtId="0" fontId="16" fillId="0" borderId="0"/>
    <xf numFmtId="0" fontId="16" fillId="0" borderId="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0" fontId="18" fillId="0" borderId="0"/>
    <xf numFmtId="0" fontId="16" fillId="0" borderId="0"/>
    <xf numFmtId="43" fontId="18" fillId="0" borderId="0" applyFont="0" applyFill="0" applyBorder="0" applyAlignment="0" applyProtection="0"/>
    <xf numFmtId="0" fontId="16" fillId="0" borderId="0"/>
    <xf numFmtId="43" fontId="18" fillId="0" borderId="0" applyFont="0" applyFill="0" applyBorder="0" applyAlignment="0" applyProtection="0"/>
    <xf numFmtId="0" fontId="16" fillId="0" borderId="0"/>
    <xf numFmtId="9" fontId="1" fillId="0" borderId="0" applyFont="0" applyFill="0" applyBorder="0" applyAlignment="0" applyProtection="0"/>
    <xf numFmtId="0" fontId="16" fillId="0" borderId="0"/>
    <xf numFmtId="0" fontId="16" fillId="0" borderId="0"/>
    <xf numFmtId="0" fontId="16" fillId="0" borderId="0"/>
    <xf numFmtId="0" fontId="18" fillId="0" borderId="0"/>
    <xf numFmtId="0" fontId="16" fillId="0" borderId="0"/>
    <xf numFmtId="9" fontId="16" fillId="0" borderId="0" applyFont="0" applyFill="0" applyBorder="0" applyAlignment="0" applyProtection="0"/>
    <xf numFmtId="9" fontId="2" fillId="0" borderId="0" applyFont="0" applyFill="0" applyBorder="0" applyAlignment="0" applyProtection="0"/>
  </cellStyleXfs>
  <cellXfs count="149">
    <xf numFmtId="0" fontId="0" fillId="0" borderId="0" xfId="0"/>
    <xf numFmtId="0" fontId="6" fillId="0" borderId="0" xfId="0" applyFont="1" applyAlignment="1">
      <alignment wrapText="1"/>
    </xf>
    <xf numFmtId="0" fontId="6" fillId="0" borderId="0" xfId="0" applyFont="1"/>
    <xf numFmtId="0" fontId="6" fillId="0" borderId="0" xfId="0" applyFont="1" applyAlignment="1">
      <alignment readingOrder="1"/>
    </xf>
    <xf numFmtId="0" fontId="8" fillId="0" borderId="0" xfId="0" applyFont="1" applyAlignment="1">
      <alignment horizontal="left" wrapText="1" readingOrder="1"/>
    </xf>
    <xf numFmtId="0" fontId="0" fillId="0" borderId="0" xfId="0" applyAlignment="1">
      <alignment horizontal="right"/>
    </xf>
    <xf numFmtId="165" fontId="4" fillId="0" borderId="0" xfId="2" applyNumberFormat="1" applyFill="1" applyBorder="1" applyAlignment="1">
      <alignment horizontal="center" readingOrder="1"/>
    </xf>
    <xf numFmtId="0" fontId="0" fillId="0" borderId="0" xfId="0" applyAlignment="1">
      <alignment horizontal="center"/>
    </xf>
    <xf numFmtId="0" fontId="3" fillId="0" borderId="0" xfId="0" applyFont="1" applyAlignment="1">
      <alignment horizontal="left" vertical="center"/>
    </xf>
    <xf numFmtId="0" fontId="8" fillId="0" borderId="0" xfId="0" applyFont="1" applyAlignment="1">
      <alignment horizontal="left" vertical="top"/>
    </xf>
    <xf numFmtId="0" fontId="8" fillId="0" borderId="0" xfId="0" applyFont="1" applyAlignment="1">
      <alignment horizontal="left" vertical="top" wrapText="1"/>
    </xf>
    <xf numFmtId="9" fontId="126" fillId="0" borderId="0" xfId="20526">
      <alignment horizontal="right"/>
    </xf>
    <xf numFmtId="165" fontId="8" fillId="0" borderId="0" xfId="0" applyNumberFormat="1" applyFont="1" applyAlignment="1">
      <alignment horizontal="right" vertical="top" wrapText="1" readingOrder="1"/>
    </xf>
    <xf numFmtId="0" fontId="6" fillId="0" borderId="0" xfId="0" applyFont="1" applyAlignment="1">
      <alignment horizontal="left" vertical="center"/>
    </xf>
    <xf numFmtId="0" fontId="6" fillId="0" borderId="0" xfId="0" applyFont="1" applyAlignment="1">
      <alignment vertical="top" readingOrder="1"/>
    </xf>
    <xf numFmtId="0" fontId="4" fillId="0" borderId="0" xfId="2" applyFill="1" applyBorder="1" applyAlignment="1">
      <alignment horizontal="left" wrapText="1" readingOrder="1"/>
    </xf>
    <xf numFmtId="0" fontId="6" fillId="0" borderId="0" xfId="0" applyFont="1" applyAlignment="1">
      <alignment horizontal="left" wrapText="1"/>
    </xf>
    <xf numFmtId="0" fontId="6" fillId="0" borderId="0" xfId="0" applyFont="1" applyAlignment="1">
      <alignment vertical="top" wrapText="1"/>
    </xf>
    <xf numFmtId="0" fontId="3" fillId="0" borderId="0" xfId="1"/>
    <xf numFmtId="0" fontId="166" fillId="0" borderId="0" xfId="0" applyFont="1" applyAlignment="1">
      <alignment horizontal="left" vertical="top"/>
    </xf>
    <xf numFmtId="0" fontId="167" fillId="0" borderId="0" xfId="0" applyFont="1" applyAlignment="1">
      <alignment horizontal="left" vertical="top"/>
    </xf>
    <xf numFmtId="0" fontId="8" fillId="0" borderId="0" xfId="0" applyFont="1" applyAlignment="1">
      <alignment readingOrder="1"/>
    </xf>
    <xf numFmtId="0" fontId="8" fillId="0" borderId="0" xfId="0" applyFont="1"/>
    <xf numFmtId="0" fontId="3" fillId="0" borderId="0" xfId="1" applyAlignment="1">
      <alignment wrapText="1" readingOrder="1"/>
    </xf>
    <xf numFmtId="0" fontId="6" fillId="0" borderId="0" xfId="0" applyFont="1" applyAlignment="1">
      <alignment horizontal="left" readingOrder="1"/>
    </xf>
    <xf numFmtId="0" fontId="164" fillId="0" borderId="0" xfId="0" applyFont="1" applyAlignment="1">
      <alignment readingOrder="1"/>
    </xf>
    <xf numFmtId="0" fontId="7" fillId="0" borderId="0" xfId="4" applyAlignment="1">
      <alignment vertical="top" wrapText="1"/>
    </xf>
    <xf numFmtId="0" fontId="7" fillId="0" borderId="0" xfId="4" applyFill="1" applyAlignment="1">
      <alignment readingOrder="1"/>
    </xf>
    <xf numFmtId="0" fontId="6" fillId="0" borderId="0" xfId="5" applyFont="1" applyAlignment="1">
      <alignment horizontal="left" vertical="top" wrapText="1"/>
    </xf>
    <xf numFmtId="0" fontId="7" fillId="0" borderId="0" xfId="4" applyFill="1" applyAlignment="1">
      <alignment wrapText="1"/>
    </xf>
    <xf numFmtId="0" fontId="4" fillId="0" borderId="0" xfId="0" applyFont="1" applyAlignment="1">
      <alignment vertical="top" wrapText="1"/>
    </xf>
    <xf numFmtId="0" fontId="165"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xf numFmtId="0" fontId="169" fillId="0" borderId="0" xfId="0" applyFont="1" applyAlignment="1">
      <alignment horizontal="left" wrapText="1" readingOrder="1"/>
    </xf>
    <xf numFmtId="0" fontId="169" fillId="0" borderId="53" xfId="0" applyFont="1" applyBorder="1" applyAlignment="1">
      <alignment horizontal="left" wrapText="1" readingOrder="1"/>
    </xf>
    <xf numFmtId="0" fontId="170" fillId="0" borderId="0" xfId="0" applyFont="1"/>
    <xf numFmtId="0" fontId="163" fillId="0" borderId="0" xfId="0" applyFont="1" applyAlignment="1">
      <alignment wrapText="1" readingOrder="1"/>
    </xf>
    <xf numFmtId="0" fontId="6" fillId="0" borderId="0" xfId="0" applyFont="1" applyAlignment="1">
      <alignment horizontal="right" wrapText="1" readingOrder="1"/>
    </xf>
    <xf numFmtId="3" fontId="164" fillId="0" borderId="0" xfId="0" applyNumberFormat="1" applyFont="1" applyAlignment="1">
      <alignment horizontal="right" wrapText="1" readingOrder="1"/>
    </xf>
    <xf numFmtId="3" fontId="162" fillId="0" borderId="0" xfId="0" applyNumberFormat="1" applyFont="1" applyAlignment="1">
      <alignment horizontal="right"/>
    </xf>
    <xf numFmtId="0" fontId="162" fillId="0" borderId="0" xfId="0" applyFont="1" applyAlignment="1">
      <alignment horizontal="right"/>
    </xf>
    <xf numFmtId="0" fontId="162" fillId="0" borderId="53" xfId="0" applyFont="1" applyBorder="1" applyAlignment="1">
      <alignment horizontal="right"/>
    </xf>
    <xf numFmtId="0" fontId="8" fillId="0" borderId="53" xfId="0" applyFont="1" applyBorder="1" applyAlignment="1">
      <alignment horizontal="left" wrapText="1" readingOrder="1"/>
    </xf>
    <xf numFmtId="0" fontId="0" fillId="0" borderId="55" xfId="0" applyBorder="1"/>
    <xf numFmtId="0" fontId="0" fillId="0" borderId="56" xfId="0" applyBorder="1"/>
    <xf numFmtId="0" fontId="0" fillId="0" borderId="57" xfId="0" applyBorder="1"/>
    <xf numFmtId="0" fontId="0" fillId="0" borderId="0" xfId="0" pivotButton="1"/>
    <xf numFmtId="0" fontId="0" fillId="0" borderId="0" xfId="0" applyAlignment="1">
      <alignment horizontal="left"/>
    </xf>
    <xf numFmtId="0" fontId="184" fillId="0" borderId="0" xfId="0" applyFont="1" applyAlignment="1">
      <alignment readingOrder="1"/>
    </xf>
    <xf numFmtId="0" fontId="163" fillId="0" borderId="0" xfId="0" applyFont="1" applyAlignment="1">
      <alignment readingOrder="1"/>
    </xf>
    <xf numFmtId="165" fontId="8" fillId="0" borderId="58" xfId="0" applyNumberFormat="1" applyFont="1" applyBorder="1" applyAlignment="1">
      <alignment horizontal="right" vertical="top" wrapText="1" readingOrder="1"/>
    </xf>
    <xf numFmtId="3" fontId="164" fillId="0" borderId="59" xfId="0" applyNumberFormat="1" applyFont="1" applyBorder="1" applyAlignment="1">
      <alignment horizontal="right" wrapText="1" readingOrder="1"/>
    </xf>
    <xf numFmtId="3" fontId="164" fillId="0" borderId="58" xfId="0" applyNumberFormat="1" applyFont="1" applyBorder="1" applyAlignment="1">
      <alignment horizontal="right" wrapText="1" readingOrder="1"/>
    </xf>
    <xf numFmtId="3" fontId="164" fillId="0" borderId="60" xfId="0" applyNumberFormat="1" applyFont="1" applyBorder="1" applyAlignment="1">
      <alignment horizontal="right" wrapText="1" readingOrder="1"/>
    </xf>
    <xf numFmtId="0" fontId="6" fillId="0" borderId="58" xfId="0" applyFont="1" applyBorder="1" applyAlignment="1">
      <alignment horizontal="right" wrapText="1" readingOrder="1"/>
    </xf>
    <xf numFmtId="2" fontId="6" fillId="0" borderId="58" xfId="0" applyNumberFormat="1" applyFont="1" applyBorder="1" applyAlignment="1">
      <alignment horizontal="right" wrapText="1" readingOrder="1"/>
    </xf>
    <xf numFmtId="0" fontId="186" fillId="115" borderId="0" xfId="0" applyFont="1" applyFill="1"/>
    <xf numFmtId="0" fontId="187" fillId="115" borderId="0" xfId="0" applyFont="1" applyFill="1"/>
    <xf numFmtId="0" fontId="0" fillId="115" borderId="0" xfId="0" applyFill="1"/>
    <xf numFmtId="0" fontId="0" fillId="0" borderId="62" xfId="0" applyBorder="1"/>
    <xf numFmtId="0" fontId="0" fillId="0" borderId="63" xfId="0" applyBorder="1"/>
    <xf numFmtId="0" fontId="170" fillId="0" borderId="64" xfId="0" applyFont="1" applyBorder="1"/>
    <xf numFmtId="2" fontId="0" fillId="0" borderId="0" xfId="55011" applyNumberFormat="1" applyFont="1"/>
    <xf numFmtId="9" fontId="0" fillId="0" borderId="0" xfId="55011" applyFont="1"/>
    <xf numFmtId="0" fontId="0" fillId="0" borderId="68" xfId="0" applyBorder="1"/>
    <xf numFmtId="0" fontId="0" fillId="0" borderId="8" xfId="0" applyBorder="1"/>
    <xf numFmtId="0" fontId="10" fillId="0" borderId="0" xfId="0" applyFont="1"/>
    <xf numFmtId="0" fontId="10" fillId="0" borderId="56" xfId="0" applyFont="1" applyBorder="1"/>
    <xf numFmtId="3" fontId="10" fillId="0" borderId="56" xfId="0" applyNumberFormat="1" applyFont="1" applyBorder="1" applyAlignment="1">
      <alignment horizontal="center"/>
    </xf>
    <xf numFmtId="3" fontId="10" fillId="0" borderId="66" xfId="0" applyNumberFormat="1" applyFont="1" applyBorder="1" applyAlignment="1">
      <alignment horizontal="center"/>
    </xf>
    <xf numFmtId="3" fontId="10" fillId="0" borderId="0" xfId="0" applyNumberFormat="1" applyFont="1" applyAlignment="1">
      <alignment horizontal="center"/>
    </xf>
    <xf numFmtId="3" fontId="10" fillId="0" borderId="67" xfId="0" applyNumberFormat="1" applyFont="1" applyBorder="1" applyAlignment="1">
      <alignment horizontal="center"/>
    </xf>
    <xf numFmtId="4" fontId="187" fillId="0" borderId="56" xfId="0" applyNumberFormat="1" applyFont="1" applyBorder="1" applyAlignment="1">
      <alignment horizontal="center"/>
    </xf>
    <xf numFmtId="4" fontId="187" fillId="0" borderId="66" xfId="0" applyNumberFormat="1" applyFont="1" applyBorder="1" applyAlignment="1">
      <alignment horizontal="center"/>
    </xf>
    <xf numFmtId="4" fontId="10" fillId="0" borderId="56" xfId="0" applyNumberFormat="1" applyFont="1" applyBorder="1" applyAlignment="1">
      <alignment horizontal="center"/>
    </xf>
    <xf numFmtId="4" fontId="10" fillId="0" borderId="66" xfId="0" applyNumberFormat="1" applyFont="1" applyBorder="1" applyAlignment="1">
      <alignment horizontal="center"/>
    </xf>
    <xf numFmtId="0" fontId="188" fillId="116" borderId="69" xfId="0" applyFont="1" applyFill="1" applyBorder="1" applyAlignment="1">
      <alignment horizontal="center" vertical="top"/>
    </xf>
    <xf numFmtId="0" fontId="188" fillId="116" borderId="70" xfId="0" applyFont="1" applyFill="1" applyBorder="1" applyAlignment="1">
      <alignment horizontal="center" vertical="top"/>
    </xf>
    <xf numFmtId="165" fontId="188" fillId="116" borderId="70" xfId="0" applyNumberFormat="1" applyFont="1" applyFill="1" applyBorder="1" applyAlignment="1">
      <alignment horizontal="center" vertical="top" wrapText="1" readingOrder="1"/>
    </xf>
    <xf numFmtId="165" fontId="188" fillId="116" borderId="71" xfId="0" applyNumberFormat="1" applyFont="1" applyFill="1" applyBorder="1" applyAlignment="1">
      <alignment horizontal="center" vertical="top" wrapText="1" readingOrder="1"/>
    </xf>
    <xf numFmtId="165" fontId="188" fillId="116" borderId="65" xfId="0" applyNumberFormat="1" applyFont="1" applyFill="1" applyBorder="1" applyAlignment="1">
      <alignment horizontal="center" vertical="top" wrapText="1" readingOrder="1"/>
    </xf>
    <xf numFmtId="0" fontId="171" fillId="0" borderId="0" xfId="0" applyFont="1" applyAlignment="1">
      <alignment horizontal="center" vertical="top"/>
    </xf>
    <xf numFmtId="0" fontId="0" fillId="117" borderId="0" xfId="0" applyFill="1"/>
    <xf numFmtId="0" fontId="172" fillId="117" borderId="0" xfId="0" applyFont="1" applyFill="1" applyAlignment="1">
      <alignment vertical="top" wrapText="1"/>
    </xf>
    <xf numFmtId="0" fontId="189" fillId="117" borderId="0" xfId="0" applyFont="1" applyFill="1" applyAlignment="1">
      <alignment vertical="center"/>
    </xf>
    <xf numFmtId="0" fontId="189" fillId="117" borderId="0" xfId="0" applyFont="1" applyFill="1"/>
    <xf numFmtId="0" fontId="190" fillId="117" borderId="0" xfId="0" applyFont="1" applyFill="1" applyAlignment="1">
      <alignment horizontal="left"/>
    </xf>
    <xf numFmtId="0" fontId="191" fillId="117" borderId="0" xfId="0" applyFont="1" applyFill="1" applyAlignment="1">
      <alignment vertical="center"/>
    </xf>
    <xf numFmtId="0" fontId="173" fillId="117" borderId="0" xfId="0" applyFont="1" applyFill="1" applyAlignment="1">
      <alignment vertical="center" wrapText="1"/>
    </xf>
    <xf numFmtId="0" fontId="174" fillId="117" borderId="0" xfId="0" applyFont="1" applyFill="1" applyAlignment="1">
      <alignment vertical="center"/>
    </xf>
    <xf numFmtId="0" fontId="192" fillId="117" borderId="0" xfId="0" applyFont="1" applyFill="1"/>
    <xf numFmtId="0" fontId="193" fillId="117" borderId="0" xfId="0" applyFont="1" applyFill="1"/>
    <xf numFmtId="0" fontId="194" fillId="117" borderId="0" xfId="0" applyFont="1" applyFill="1"/>
    <xf numFmtId="0" fontId="102" fillId="117" borderId="0" xfId="0" applyFont="1" applyFill="1"/>
    <xf numFmtId="0" fontId="195" fillId="117" borderId="0" xfId="0" applyFont="1" applyFill="1"/>
    <xf numFmtId="0" fontId="192" fillId="117" borderId="0" xfId="0" applyFont="1" applyFill="1" applyAlignment="1">
      <alignment horizontal="left"/>
    </xf>
    <xf numFmtId="0" fontId="167" fillId="117" borderId="0" xfId="0" applyFont="1" applyFill="1"/>
    <xf numFmtId="0" fontId="176" fillId="117" borderId="0" xfId="0" applyFont="1" applyFill="1"/>
    <xf numFmtId="0" fontId="177" fillId="117" borderId="0" xfId="0" applyFont="1" applyFill="1" applyAlignment="1">
      <alignment horizontal="left"/>
    </xf>
    <xf numFmtId="0" fontId="177" fillId="117" borderId="0" xfId="0" applyFont="1" applyFill="1"/>
    <xf numFmtId="0" fontId="178" fillId="117" borderId="0" xfId="0" applyFont="1" applyFill="1"/>
    <xf numFmtId="0" fontId="180" fillId="117" borderId="0" xfId="0" applyFont="1" applyFill="1"/>
    <xf numFmtId="0" fontId="181" fillId="117" borderId="0" xfId="0" applyFont="1" applyFill="1"/>
    <xf numFmtId="0" fontId="182" fillId="117" borderId="0" xfId="0" applyFont="1" applyFill="1"/>
    <xf numFmtId="0" fontId="183" fillId="117" borderId="0" xfId="0" applyFont="1" applyFill="1"/>
    <xf numFmtId="2" fontId="0" fillId="0" borderId="63" xfId="0" applyNumberFormat="1" applyBorder="1"/>
    <xf numFmtId="2" fontId="0" fillId="0" borderId="0" xfId="0" applyNumberFormat="1"/>
    <xf numFmtId="2" fontId="6" fillId="0" borderId="0" xfId="0" applyNumberFormat="1" applyFont="1" applyAlignment="1">
      <alignment horizontal="right" wrapText="1" readingOrder="1"/>
    </xf>
    <xf numFmtId="9" fontId="196" fillId="0" borderId="0" xfId="55011" applyFont="1"/>
    <xf numFmtId="0" fontId="196" fillId="0" borderId="0" xfId="0" applyFont="1"/>
    <xf numFmtId="0" fontId="163" fillId="0" borderId="0" xfId="0" applyFont="1" applyAlignment="1">
      <alignment vertical="top" wrapText="1" readingOrder="1"/>
    </xf>
    <xf numFmtId="3" fontId="164" fillId="0" borderId="53" xfId="0" applyNumberFormat="1" applyFont="1" applyBorder="1" applyAlignment="1">
      <alignment horizontal="right" wrapText="1" readingOrder="1"/>
    </xf>
    <xf numFmtId="0" fontId="164" fillId="0" borderId="0" xfId="0" applyFont="1" applyAlignment="1">
      <alignment horizontal="right" wrapText="1" readingOrder="1"/>
    </xf>
    <xf numFmtId="3" fontId="164" fillId="0" borderId="54" xfId="0" applyNumberFormat="1" applyFont="1" applyBorder="1" applyAlignment="1">
      <alignment horizontal="right" wrapText="1" readingOrder="1"/>
    </xf>
    <xf numFmtId="0" fontId="3" fillId="0" borderId="0" xfId="1" applyFill="1" applyAlignment="1">
      <alignment horizontal="left" readingOrder="1"/>
    </xf>
    <xf numFmtId="0" fontId="3" fillId="0" borderId="0" xfId="1" applyFill="1" applyAlignment="1">
      <alignment readingOrder="1"/>
    </xf>
    <xf numFmtId="0" fontId="6" fillId="0" borderId="0" xfId="0" applyFont="1" applyAlignment="1">
      <alignment horizontal="left" vertical="top" readingOrder="1"/>
    </xf>
    <xf numFmtId="0" fontId="164" fillId="0" borderId="0" xfId="0" applyFont="1" applyAlignment="1">
      <alignment horizontal="left" readingOrder="1"/>
    </xf>
    <xf numFmtId="3" fontId="162" fillId="0" borderId="58" xfId="0" applyNumberFormat="1" applyFont="1" applyBorder="1" applyAlignment="1">
      <alignment horizontal="right"/>
    </xf>
    <xf numFmtId="1" fontId="6" fillId="0" borderId="0" xfId="0" applyNumberFormat="1" applyFont="1" applyAlignment="1">
      <alignment horizontal="right" wrapText="1" readingOrder="1"/>
    </xf>
    <xf numFmtId="1" fontId="0" fillId="0" borderId="0" xfId="0" applyNumberFormat="1"/>
    <xf numFmtId="1" fontId="0" fillId="0" borderId="0" xfId="55011" applyNumberFormat="1" applyFont="1"/>
    <xf numFmtId="0" fontId="6" fillId="0" borderId="0" xfId="0" applyFont="1" applyAlignment="1">
      <alignment horizontal="left" vertical="top"/>
    </xf>
    <xf numFmtId="0" fontId="8" fillId="0" borderId="0" xfId="0" applyFont="1" applyAlignment="1">
      <alignment horizontal="left" wrapText="1"/>
    </xf>
    <xf numFmtId="3" fontId="164" fillId="0" borderId="58" xfId="0" applyNumberFormat="1" applyFont="1" applyBorder="1" applyAlignment="1">
      <alignment horizontal="right" readingOrder="1"/>
    </xf>
    <xf numFmtId="3" fontId="162" fillId="0" borderId="0" xfId="0" applyNumberFormat="1" applyFont="1"/>
    <xf numFmtId="3" fontId="162" fillId="0" borderId="53" xfId="0" applyNumberFormat="1" applyFont="1" applyBorder="1"/>
    <xf numFmtId="3" fontId="6" fillId="0" borderId="60" xfId="0" applyNumberFormat="1" applyFont="1" applyBorder="1" applyAlignment="1">
      <alignment horizontal="right" wrapText="1" readingOrder="1"/>
    </xf>
    <xf numFmtId="3" fontId="6" fillId="0" borderId="61" xfId="0" applyNumberFormat="1" applyFont="1" applyBorder="1" applyAlignment="1">
      <alignment horizontal="right" wrapText="1" readingOrder="1"/>
    </xf>
    <xf numFmtId="3" fontId="6" fillId="0" borderId="53" xfId="0" applyNumberFormat="1" applyFont="1" applyBorder="1" applyAlignment="1">
      <alignment horizontal="right" wrapText="1" readingOrder="1"/>
    </xf>
    <xf numFmtId="9" fontId="169" fillId="0" borderId="0" xfId="20526" applyFont="1" applyAlignment="1">
      <alignment horizontal="left" wrapText="1" readingOrder="1"/>
    </xf>
    <xf numFmtId="9" fontId="0" fillId="0" borderId="0" xfId="0" applyNumberFormat="1"/>
    <xf numFmtId="4" fontId="187" fillId="0" borderId="0" xfId="0" applyNumberFormat="1" applyFont="1" applyAlignment="1">
      <alignment horizontal="center"/>
    </xf>
    <xf numFmtId="4" fontId="187" fillId="0" borderId="67" xfId="0" applyNumberFormat="1" applyFont="1" applyBorder="1" applyAlignment="1">
      <alignment horizontal="center"/>
    </xf>
    <xf numFmtId="4" fontId="10" fillId="0" borderId="0" xfId="0" applyNumberFormat="1" applyFont="1" applyAlignment="1">
      <alignment horizontal="center"/>
    </xf>
    <xf numFmtId="4" fontId="10" fillId="0" borderId="67" xfId="0" applyNumberFormat="1" applyFont="1" applyBorder="1" applyAlignment="1">
      <alignment horizontal="center"/>
    </xf>
    <xf numFmtId="3" fontId="163" fillId="0" borderId="72" xfId="0" applyNumberFormat="1" applyFont="1" applyBorder="1" applyAlignment="1">
      <alignment horizontal="right" wrapText="1" readingOrder="1"/>
    </xf>
    <xf numFmtId="3" fontId="163" fillId="0" borderId="0" xfId="0" applyNumberFormat="1" applyFont="1" applyAlignment="1">
      <alignment horizontal="right" wrapText="1" readingOrder="1"/>
    </xf>
    <xf numFmtId="0" fontId="199" fillId="0" borderId="0" xfId="0" applyFont="1"/>
    <xf numFmtId="0" fontId="7" fillId="0" borderId="0" xfId="4" applyFill="1" applyBorder="1" applyAlignment="1">
      <alignment wrapText="1"/>
    </xf>
    <xf numFmtId="3" fontId="164" fillId="0" borderId="0" xfId="20526" applyNumberFormat="1" applyFont="1" applyAlignment="1">
      <alignment horizontal="right" wrapText="1" readingOrder="1"/>
    </xf>
    <xf numFmtId="0" fontId="0" fillId="0" borderId="0" xfId="0" applyAlignment="1">
      <alignment wrapText="1"/>
    </xf>
    <xf numFmtId="9" fontId="167" fillId="0" borderId="0" xfId="0" applyNumberFormat="1" applyFont="1" applyAlignment="1">
      <alignment horizontal="left" vertical="center" wrapText="1"/>
    </xf>
    <xf numFmtId="0" fontId="175" fillId="117" borderId="0" xfId="0" applyFont="1" applyFill="1" applyAlignment="1">
      <alignment horizontal="left" vertical="center" wrapText="1"/>
    </xf>
    <xf numFmtId="0" fontId="179" fillId="117" borderId="0" xfId="0" applyFont="1" applyFill="1" applyAlignment="1">
      <alignment horizontal="left" wrapText="1"/>
    </xf>
    <xf numFmtId="0" fontId="0" fillId="0" borderId="0" xfId="0" applyNumberFormat="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91">
    <dxf>
      <numFmt numFmtId="2" formatCode="0.0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border outline="0">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border diagonalUp="0" diagonalDown="0" outline="0">
        <left style="thin">
          <color indexed="64"/>
        </left>
        <right style="thin">
          <color indexed="64"/>
        </right>
        <top/>
        <bottom/>
      </border>
    </dxf>
    <dxf>
      <numFmt numFmtId="2" formatCode="0.00"/>
    </dxf>
    <dxf>
      <numFmt numFmtId="3" formatCode="#,##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border outline="0">
        <left style="thick">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strike val="0"/>
        <outline val="0"/>
        <shadow val="0"/>
        <u val="none"/>
        <vertAlign val="baseline"/>
        <sz val="12"/>
        <color auto="1"/>
        <name val="Calibri"/>
        <family val="2"/>
        <scheme val="none"/>
      </font>
      <alignment horizontal="right" vertical="bottom" textRotation="0"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left/>
        <right/>
        <top/>
        <bottom style="thick">
          <color indexed="64"/>
        </bottom>
        <vertical/>
        <horizontal/>
      </border>
    </dxf>
    <dxf>
      <font>
        <b val="0"/>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strike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dxf>
    <dxf>
      <alignment vertical="bottom" textRotation="0" wrapText="1" indent="0" justifyLastLine="0" shrinkToFit="0" readingOrder="0"/>
    </dxf>
    <dxf>
      <font>
        <b val="0"/>
      </font>
    </dxf>
  </dxfs>
  <tableStyles count="2" defaultTableStyle="TableStyleMedium2" defaultPivotStyle="PivotStyleLight16">
    <tableStyle name="indicators" pivot="0" table="0" count="6" xr9:uid="{40CDB037-466C-4CD4-B779-59C5BE30B104}"/>
    <tableStyle name="Slicer Style 1" pivot="0" table="0" count="6" xr9:uid="{D115F975-698D-4184-AF74-8AEE4E1A7317}"/>
  </tableStyles>
  <colors>
    <mruColors>
      <color rgb="FF702472"/>
      <color rgb="FF253268"/>
      <color rgb="FF9C46A3"/>
      <color rgb="FF8392C3"/>
      <color rgb="FFEA0000"/>
      <color rgb="FF8787C9"/>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2" tint="-0.499984740745262"/>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[table-1-improving-safety-for-all.xlsx]workings!PivotTable16</c:name>
    <c:fmtId val="7"/>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702472"/>
          </a:solidFill>
          <a:ln>
            <a:noFill/>
          </a:ln>
          <a:effectLst/>
        </c:spPr>
      </c:pivotFmt>
      <c:pivotFmt>
        <c:idx val="18"/>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02472"/>
          </a:solidFill>
          <a:ln>
            <a:noFill/>
          </a:ln>
          <a:effectLst/>
        </c:spPr>
      </c:pivotFmt>
      <c:pivotFmt>
        <c:idx val="20"/>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253268"/>
          </a:solidFill>
        </c:spPr>
        <c:marker>
          <c:symbol val="none"/>
        </c:marker>
        <c:dLbl>
          <c:idx val="0"/>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rgbClr val="702472"/>
          </a:solidFill>
        </c:spPr>
      </c:pivotFmt>
      <c:pivotFmt>
        <c:idx val="26"/>
      </c:pivotFmt>
      <c:pivotFmt>
        <c:idx val="27"/>
      </c:pivotFmt>
      <c:pivotFmt>
        <c:idx val="28"/>
      </c:pivotFmt>
      <c:pivotFmt>
        <c:idx val="29"/>
      </c:pivotFmt>
      <c:pivotFmt>
        <c:idx val="30"/>
      </c:pivotFmt>
      <c:pivotFmt>
        <c:idx val="31"/>
      </c:pivotFmt>
      <c:pivotFmt>
        <c:idx val="32"/>
        <c:spPr>
          <a:solidFill>
            <a:srgbClr val="702472"/>
          </a:solidFill>
        </c:spPr>
      </c:pivotFmt>
      <c:pivotFmt>
        <c:idx val="33"/>
        <c:spPr>
          <a:solidFill>
            <a:srgbClr val="702472"/>
          </a:solidFill>
        </c:spPr>
      </c:pivotFmt>
      <c:pivotFmt>
        <c:idx val="34"/>
      </c:pivotFmt>
      <c:pivotFmt>
        <c:idx val="35"/>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c:spPr>
          <c:invertIfNegative val="0"/>
          <c:dPt>
            <c:idx val="0"/>
            <c:invertIfNegative val="0"/>
            <c:bubble3D val="0"/>
            <c:extLst>
              <c:ext xmlns:c16="http://schemas.microsoft.com/office/drawing/2014/chart" uri="{C3380CC4-5D6E-409C-BE32-E72D297353CC}">
                <c16:uniqueId val="{00000001-D882-48F3-8FBC-332001AB84ED}"/>
              </c:ext>
            </c:extLst>
          </c:dPt>
          <c:dLbls>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workings!$A$6:$A$11</c:f>
              <c:strCache>
                <c:ptCount val="6"/>
                <c:pt idx="0">
                  <c:v>2016</c:v>
                </c:pt>
                <c:pt idx="1">
                  <c:v>2017</c:v>
                </c:pt>
                <c:pt idx="2">
                  <c:v>2018</c:v>
                </c:pt>
                <c:pt idx="3">
                  <c:v>2019</c:v>
                </c:pt>
                <c:pt idx="4">
                  <c:v>2020</c:v>
                </c:pt>
                <c:pt idx="5">
                  <c:v>2021</c:v>
                </c:pt>
              </c:strCache>
            </c:strRef>
          </c:cat>
          <c:val>
            <c:numRef>
              <c:f>workings!$B$6:$B$11</c:f>
              <c:numCache>
                <c:formatCode>General</c:formatCode>
                <c:ptCount val="6"/>
                <c:pt idx="0">
                  <c:v>2263</c:v>
                </c:pt>
                <c:pt idx="1">
                  <c:v>2072</c:v>
                </c:pt>
                <c:pt idx="2">
                  <c:v>2178</c:v>
                </c:pt>
                <c:pt idx="3">
                  <c:v>2060</c:v>
                </c:pt>
                <c:pt idx="4">
                  <c:v>1397</c:v>
                </c:pt>
                <c:pt idx="5">
                  <c:v>1857</c:v>
                </c:pt>
              </c:numCache>
            </c:numRef>
          </c:val>
          <c:extLst>
            <c:ext xmlns:c16="http://schemas.microsoft.com/office/drawing/2014/chart" uri="{C3380CC4-5D6E-409C-BE32-E72D297353CC}">
              <c16:uniqueId val="{00000006-933F-4BAD-93AA-E78B2FBEBC83}"/>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solidFill>
                  <a:schemeClr val="tx1"/>
                </a:solidFill>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[table-1-improving-safety-for-all.xlsx]workings!PivotTable17</c:name>
    <c:fmtId val="4"/>
  </c:pivotSource>
  <c:chart>
    <c:title>
      <c:tx>
        <c:strRef>
          <c:f>" Yorkshire and North East"</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8392C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pivotFmt>
      <c:pivotFmt>
        <c:idx val="32"/>
        <c:spPr>
          <a:solidFill>
            <a:srgbClr val="8392C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9C46A3"/>
          </a:solidFill>
          <a:ln>
            <a:noFill/>
          </a:ln>
          <a:effectLst/>
        </c:spPr>
      </c:pivotFmt>
    </c:pivotFmts>
    <c:plotArea>
      <c:layout>
        <c:manualLayout>
          <c:layoutTarget val="inner"/>
          <c:xMode val="edge"/>
          <c:yMode val="edge"/>
          <c:x val="0"/>
          <c:y val="0.15377655613497623"/>
          <c:w val="1"/>
          <c:h val="0.74623809354951831"/>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5DA5-413A-8354-D81AB18D899A}"/>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workings!$D$6:$D$11</c:f>
              <c:strCache>
                <c:ptCount val="6"/>
                <c:pt idx="0">
                  <c:v>2016</c:v>
                </c:pt>
                <c:pt idx="1">
                  <c:v>2017</c:v>
                </c:pt>
                <c:pt idx="2">
                  <c:v>2018</c:v>
                </c:pt>
                <c:pt idx="3">
                  <c:v>2019</c:v>
                </c:pt>
                <c:pt idx="4">
                  <c:v>2020</c:v>
                </c:pt>
                <c:pt idx="5">
                  <c:v>2021</c:v>
                </c:pt>
              </c:strCache>
            </c:strRef>
          </c:cat>
          <c:val>
            <c:numRef>
              <c:f>workings!$E$6:$E$11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1F9-4AC7-B38C-0A5D896237E4}"/>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[table-1-improving-safety-for-all.xlsx]workings!PivotTable18</c:name>
    <c:fmtId val="3"/>
  </c:pivotSource>
  <c:chart>
    <c:title>
      <c:tx>
        <c:strRef>
          <c:f>workings!$H$5</c:f>
          <c:strCache>
            <c:ptCount val="1"/>
            <c:pt idx="0">
              <c:v> North West
</c:v>
            </c:pt>
          </c:strCache>
        </c:strRef>
      </c:tx>
      <c:layout>
        <c:manualLayout>
          <c:xMode val="edge"/>
          <c:yMode val="edge"/>
          <c:x val="3.2827988695646845E-4"/>
          <c:y val="1.7058870245181034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8392C3"/>
          </a:solidFill>
          <a:ln>
            <a:noFill/>
          </a:ln>
          <a:effectLst/>
        </c:spPr>
      </c:pivotFmt>
      <c:pivotFmt>
        <c:idx val="32"/>
        <c:spPr>
          <a:solidFill>
            <a:srgbClr val="9C46A3"/>
          </a:solidFill>
          <a:ln>
            <a:noFill/>
          </a:ln>
          <a:effectLst/>
        </c:spPr>
      </c:pivotFmt>
      <c:pivotFmt>
        <c:idx val="33"/>
        <c:spPr>
          <a:solidFill>
            <a:srgbClr val="9C46A3"/>
          </a:solidFill>
          <a:ln>
            <a:noFill/>
          </a:ln>
          <a:effectLst/>
        </c:spPr>
      </c:pivotFmt>
      <c:pivotFmt>
        <c:idx val="34"/>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8392C3"/>
          </a:solidFill>
          <a:ln>
            <a:noFill/>
          </a:ln>
          <a:effectLst/>
        </c:spPr>
      </c:pivotFmt>
      <c:pivotFmt>
        <c:idx val="39"/>
        <c:spPr>
          <a:solidFill>
            <a:srgbClr val="9C46A3"/>
          </a:solidFill>
          <a:ln>
            <a:noFill/>
          </a:ln>
          <a:effectLst/>
        </c:spPr>
      </c:pivotFmt>
    </c:pivotFmts>
    <c:plotArea>
      <c:layout>
        <c:manualLayout>
          <c:layoutTarget val="inner"/>
          <c:xMode val="edge"/>
          <c:yMode val="edge"/>
          <c:x val="0"/>
          <c:y val="9.3040977657634222E-2"/>
          <c:w val="1"/>
          <c:h val="0.79866410211824157"/>
        </c:manualLayout>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D493-4BD3-982D-2B2645321C8B}"/>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6"/>
                <c:pt idx="0">
                  <c:v>2016</c:v>
                </c:pt>
                <c:pt idx="1">
                  <c:v>2017</c:v>
                </c:pt>
                <c:pt idx="2">
                  <c:v>2018</c:v>
                </c:pt>
                <c:pt idx="3">
                  <c:v>2019</c:v>
                </c:pt>
                <c:pt idx="4">
                  <c:v>2020</c:v>
                </c:pt>
                <c:pt idx="5">
                  <c:v>2021</c:v>
                </c:pt>
              </c:strCache>
            </c:strRef>
          </c:cat>
          <c:val>
            <c:numRef>
              <c:f>workings!$H$5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C57F-4707-917B-4B1DE9A8E273}"/>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[table-1-improving-safety-for-all.xlsx]workings!PivotTable19</c:name>
    <c:fmtId val="3"/>
  </c:pivotSource>
  <c:chart>
    <c:title>
      <c:tx>
        <c:strRef>
          <c:f>workings!$K$5</c:f>
          <c:strCache>
            <c:ptCount val="1"/>
            <c:pt idx="0">
              <c:v> Midlands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8392C3"/>
          </a:solidFill>
          <a:ln>
            <a:noFill/>
          </a:ln>
          <a:effectLst/>
        </c:spPr>
      </c:pivotFmt>
      <c:pivotFmt>
        <c:idx val="30"/>
        <c:spPr>
          <a:solidFill>
            <a:srgbClr val="9C46A3"/>
          </a:solidFill>
          <a:ln>
            <a:noFill/>
          </a:ln>
          <a:effectLst/>
        </c:spPr>
      </c:pivotFmt>
      <c:pivotFmt>
        <c:idx val="31"/>
        <c:spPr>
          <a:solidFill>
            <a:srgbClr val="9C46A3"/>
          </a:solidFill>
          <a:ln>
            <a:noFill/>
          </a:ln>
          <a:effectLst/>
        </c:spPr>
      </c:pivotFmt>
      <c:pivotFmt>
        <c:idx val="32"/>
        <c:spPr>
          <a:solidFill>
            <a:srgbClr val="8392C3"/>
          </a:solidFill>
          <a:ln>
            <a:noFill/>
          </a:ln>
          <a:effectLst/>
        </c:spPr>
      </c:pivotFmt>
      <c:pivotFmt>
        <c:idx val="33"/>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9C46A3"/>
          </a:solidFill>
          <a:ln>
            <a:noFill/>
          </a:ln>
          <a:effectLst/>
        </c:spPr>
      </c:pivotFmt>
    </c:pivotFmts>
    <c:plotArea>
      <c:layout>
        <c:manualLayout>
          <c:layoutTarget val="inner"/>
          <c:xMode val="edge"/>
          <c:yMode val="edge"/>
          <c:x val="0"/>
          <c:y val="0.21500922234656181"/>
          <c:w val="1"/>
          <c:h val="0.68572796086752286"/>
        </c:manualLayout>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1224-49E1-BA78-8BE403336061}"/>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6"/>
                <c:pt idx="0">
                  <c:v>2016</c:v>
                </c:pt>
                <c:pt idx="1">
                  <c:v>2017</c:v>
                </c:pt>
                <c:pt idx="2">
                  <c:v>2018</c:v>
                </c:pt>
                <c:pt idx="3">
                  <c:v>2019</c:v>
                </c:pt>
                <c:pt idx="4">
                  <c:v>2020</c:v>
                </c:pt>
                <c:pt idx="5">
                  <c:v>2021</c:v>
                </c:pt>
              </c:strCache>
            </c:strRef>
          </c:cat>
          <c:val>
            <c:numRef>
              <c:f>workings!$K$5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B20-41E1-B8F3-7A0533F415C0}"/>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[table-1-improving-safety-for-all.xlsx]workings!PivotTable20</c:name>
    <c:fmtId val="3"/>
  </c:pivotSource>
  <c:chart>
    <c:title>
      <c:tx>
        <c:strRef>
          <c:f>workings!$N$5</c:f>
          <c:strCache>
            <c:ptCount val="1"/>
            <c:pt idx="0">
              <c:v>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6"/>
                <c:pt idx="0">
                  <c:v>2016</c:v>
                </c:pt>
                <c:pt idx="1">
                  <c:v>2017</c:v>
                </c:pt>
                <c:pt idx="2">
                  <c:v>2018</c:v>
                </c:pt>
                <c:pt idx="3">
                  <c:v>2019</c:v>
                </c:pt>
                <c:pt idx="4">
                  <c:v>2020</c:v>
                </c:pt>
                <c:pt idx="5">
                  <c:v>2021</c:v>
                </c:pt>
              </c:strCache>
            </c:strRef>
          </c:cat>
          <c:val>
            <c:numRef>
              <c:f>workings!$N$5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6A5-401A-8A7E-3678200A92E6}"/>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[table-1-improving-safety-for-all.xlsx]workings!PivotTable21</c:name>
    <c:fmtId val="3"/>
  </c:pivotSource>
  <c:chart>
    <c:title>
      <c:tx>
        <c:strRef>
          <c:f>workings!$Q$5</c:f>
          <c:strCache>
            <c:ptCount val="1"/>
            <c:pt idx="0">
              <c:v> South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9C46A3"/>
          </a:solidFill>
          <a:ln>
            <a:noFill/>
          </a:ln>
          <a:effectLst/>
        </c:spPr>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459D-4062-8128-EECE9F857193}"/>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6"/>
                <c:pt idx="0">
                  <c:v>2016</c:v>
                </c:pt>
                <c:pt idx="1">
                  <c:v>2017</c:v>
                </c:pt>
                <c:pt idx="2">
                  <c:v>2018</c:v>
                </c:pt>
                <c:pt idx="3">
                  <c:v>2019</c:v>
                </c:pt>
                <c:pt idx="4">
                  <c:v>2020</c:v>
                </c:pt>
                <c:pt idx="5">
                  <c:v>2021</c:v>
                </c:pt>
              </c:strCache>
            </c:strRef>
          </c:cat>
          <c:val>
            <c:numRef>
              <c:f>workings!$Q$5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F064-43E8-AFB2-F3221378148F}"/>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[table-1-improving-safety-for-all.xlsx]workings!PivotTable22</c:name>
    <c:fmtId val="3"/>
  </c:pivotSource>
  <c:chart>
    <c:title>
      <c:tx>
        <c:strRef>
          <c:f>workings!$T$5</c:f>
          <c:strCache>
            <c:ptCount val="1"/>
            <c:pt idx="0">
              <c:v> South West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9C46A3"/>
          </a:solidFill>
          <a:ln>
            <a:noFill/>
          </a:ln>
          <a:effectLst/>
        </c:spPr>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5252-4513-9F5F-598EAC5D6521}"/>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6"/>
                <c:pt idx="0">
                  <c:v>2016</c:v>
                </c:pt>
                <c:pt idx="1">
                  <c:v>2017</c:v>
                </c:pt>
                <c:pt idx="2">
                  <c:v>2018</c:v>
                </c:pt>
                <c:pt idx="3">
                  <c:v>2019</c:v>
                </c:pt>
                <c:pt idx="4">
                  <c:v>2020</c:v>
                </c:pt>
                <c:pt idx="5">
                  <c:v>2021</c:v>
                </c:pt>
              </c:strCache>
            </c:strRef>
          </c:cat>
          <c:val>
            <c:numRef>
              <c:f>workings!$T$5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FF9F-4AB9-B8F2-5E4EF7B927B8}"/>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24</xdr:col>
      <xdr:colOff>534987</xdr:colOff>
      <xdr:row>0</xdr:row>
      <xdr:rowOff>1756</xdr:rowOff>
    </xdr:from>
    <xdr:to>
      <xdr:col>27</xdr:col>
      <xdr:colOff>331234</xdr:colOff>
      <xdr:row>3</xdr:row>
      <xdr:rowOff>64925</xdr:rowOff>
    </xdr:to>
    <xdr:pic>
      <xdr:nvPicPr>
        <xdr:cNvPr id="3" name="Picture 2" descr="Office of Rail and Road's Logo">
          <a:extLst>
            <a:ext uri="{FF2B5EF4-FFF2-40B4-BE49-F238E27FC236}">
              <a16:creationId xmlns:a16="http://schemas.microsoft.com/office/drawing/2014/main" id="{BA95DD2B-EC55-4E2C-A13E-4336A4F2252D}"/>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24</xdr:col>
      <xdr:colOff>317509</xdr:colOff>
      <xdr:row>4</xdr:row>
      <xdr:rowOff>34000</xdr:rowOff>
    </xdr:from>
    <xdr:to>
      <xdr:col>27</xdr:col>
      <xdr:colOff>194612</xdr:colOff>
      <xdr:row>4</xdr:row>
      <xdr:rowOff>231824</xdr:rowOff>
    </xdr:to>
    <xdr:sp macro="" textlink="">
      <xdr:nvSpPr>
        <xdr:cNvPr id="4" name="TextBox 3">
          <a:extLst>
            <a:ext uri="{FF2B5EF4-FFF2-40B4-BE49-F238E27FC236}">
              <a16:creationId xmlns:a16="http://schemas.microsoft.com/office/drawing/2014/main" id="{2CF99438-FCA1-4446-B150-99A544DA6A17}"/>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45379</xdr:colOff>
      <xdr:row>8</xdr:row>
      <xdr:rowOff>93633</xdr:rowOff>
    </xdr:from>
    <xdr:to>
      <xdr:col>10</xdr:col>
      <xdr:colOff>322262</xdr:colOff>
      <xdr:row>15</xdr:row>
      <xdr:rowOff>81643</xdr:rowOff>
    </xdr:to>
    <xdr:sp macro="" textlink="">
      <xdr:nvSpPr>
        <xdr:cNvPr id="6" name="Rectangle 5" descr="Key performance indicators and performance indicators selection box">
          <a:extLst>
            <a:ext uri="{FF2B5EF4-FFF2-40B4-BE49-F238E27FC236}">
              <a16:creationId xmlns:a16="http://schemas.microsoft.com/office/drawing/2014/main" id="{BC00FB1D-3830-4E0B-B622-8CED93C26261}"/>
            </a:ext>
          </a:extLst>
        </xdr:cNvPr>
        <xdr:cNvSpPr/>
      </xdr:nvSpPr>
      <xdr:spPr>
        <a:xfrm>
          <a:off x="671308" y="3291312"/>
          <a:ext cx="5910240" cy="2450902"/>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474436</xdr:colOff>
      <xdr:row>8</xdr:row>
      <xdr:rowOff>102705</xdr:rowOff>
    </xdr:from>
    <xdr:to>
      <xdr:col>19</xdr:col>
      <xdr:colOff>124707</xdr:colOff>
      <xdr:row>14</xdr:row>
      <xdr:rowOff>59191</xdr:rowOff>
    </xdr:to>
    <xdr:sp macro="" textlink="">
      <xdr:nvSpPr>
        <xdr:cNvPr id="10" name="Rectangle 9" descr="Shows best and worst performing region and comparison to National Highways.">
          <a:extLst>
            <a:ext uri="{FF2B5EF4-FFF2-40B4-BE49-F238E27FC236}">
              <a16:creationId xmlns:a16="http://schemas.microsoft.com/office/drawing/2014/main" id="{4418DCCE-5AAF-484F-A469-D7A804084836}"/>
            </a:ext>
          </a:extLst>
        </xdr:cNvPr>
        <xdr:cNvSpPr/>
      </xdr:nvSpPr>
      <xdr:spPr>
        <a:xfrm>
          <a:off x="6749730" y="2590411"/>
          <a:ext cx="5847124"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474435</xdr:colOff>
      <xdr:row>68</xdr:row>
      <xdr:rowOff>57333</xdr:rowOff>
    </xdr:from>
    <xdr:to>
      <xdr:col>27</xdr:col>
      <xdr:colOff>142874</xdr:colOff>
      <xdr:row>91</xdr:row>
      <xdr:rowOff>0</xdr:rowOff>
    </xdr:to>
    <xdr:grpSp>
      <xdr:nvGrpSpPr>
        <xdr:cNvPr id="14" name="Group 13" descr="Commentary notes and change in methodology.">
          <a:extLst>
            <a:ext uri="{FF2B5EF4-FFF2-40B4-BE49-F238E27FC236}">
              <a16:creationId xmlns:a16="http://schemas.microsoft.com/office/drawing/2014/main" id="{7E79FA45-912B-4303-9E1E-C2036C95D5D7}"/>
            </a:ext>
          </a:extLst>
        </xdr:cNvPr>
        <xdr:cNvGrpSpPr/>
      </xdr:nvGrpSpPr>
      <xdr:grpSpPr>
        <a:xfrm>
          <a:off x="5817960" y="15068733"/>
          <a:ext cx="9764939" cy="4324167"/>
          <a:chOff x="2905578" y="13537478"/>
          <a:chExt cx="10208810" cy="2883841"/>
        </a:xfrm>
      </xdr:grpSpPr>
      <xdr:sp macro="" textlink="">
        <xdr:nvSpPr>
          <xdr:cNvPr id="15" name="Rectangle 14">
            <a:extLst>
              <a:ext uri="{FF2B5EF4-FFF2-40B4-BE49-F238E27FC236}">
                <a16:creationId xmlns:a16="http://schemas.microsoft.com/office/drawing/2014/main" id="{38FC6EE1-EBA5-39F9-5AB6-C28FB2150F6F}"/>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47F1DE10-A3FE-F417-43C9-BE1013D0C4DE}"/>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Police forces have introduced changes in the way serious injuries are recorded. To ensure comparability over time, the number of killed or seriously injured casualties (KSIs) is 'adjusted' to take account of the changes in methdology.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a:solidFill>
                  <a:sysClr val="windowText" lastClr="000000"/>
                </a:solidFill>
                <a:effectLst/>
                <a:latin typeface="Arial" panose="020B0604020202020204" pitchFamily="34" charset="0"/>
                <a:cs typeface="Arial" panose="020B0604020202020204" pitchFamily="34" charset="0"/>
              </a:rPr>
              <a:t>.</a:t>
            </a:r>
            <a:r>
              <a:rPr lang="en-GB" sz="1200" b="0" baseline="0">
                <a:solidFill>
                  <a:sysClr val="windowText" lastClr="000000"/>
                </a:solidFill>
                <a:effectLst/>
                <a:latin typeface="Arial" panose="020B0604020202020204" pitchFamily="34" charset="0"/>
                <a:cs typeface="Arial" panose="020B0604020202020204" pitchFamily="34" charset="0"/>
              </a:rPr>
              <a:t> </a:t>
            </a:r>
            <a:r>
              <a:rPr lang="en-GB" sz="1200" b="0">
                <a:solidFill>
                  <a:sysClr val="windowText" lastClr="000000"/>
                </a:solidFill>
                <a:effectLst/>
                <a:latin typeface="Arial" panose="020B0604020202020204" pitchFamily="34" charset="0"/>
                <a:cs typeface="Arial" panose="020B0604020202020204" pitchFamily="34" charset="0"/>
              </a:rPr>
              <a:t>Collision and casualy data include all trunk roads and motorways forming the SRN, including roads managed by Design, Build, Finance, and Operate (DBFO) organisations.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Baseline performance will be calculated using data from April 2020 and the end of the Road Period in 2025 using the latest version of the iRAP model (version 3.02).</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All reportable incidents except “dangerous occurrences”, as defined in the Reporting of Injuries, Diseases and Dangerous  Occurrences Regulations (RIDDORs) 2013 reported by Highways England contractors and subcontractors. RIDDOR covers the reporting work-related deaths and injuries.</a:t>
            </a:r>
          </a:p>
          <a:p>
            <a:endParaRPr lang="en-GB" sz="1200" b="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8</xdr:row>
      <xdr:rowOff>103539</xdr:rowOff>
    </xdr:from>
    <xdr:to>
      <xdr:col>10</xdr:col>
      <xdr:colOff>246063</xdr:colOff>
      <xdr:row>10</xdr:row>
      <xdr:rowOff>93</xdr:rowOff>
    </xdr:to>
    <xdr:sp macro="" textlink="">
      <xdr:nvSpPr>
        <xdr:cNvPr id="17" name="TextBox 16">
          <a:extLst>
            <a:ext uri="{FF2B5EF4-FFF2-40B4-BE49-F238E27FC236}">
              <a16:creationId xmlns:a16="http://schemas.microsoft.com/office/drawing/2014/main" id="{E6B50336-5C89-42E2-A270-6D3AA4368232}"/>
            </a:ext>
          </a:extLst>
        </xdr:cNvPr>
        <xdr:cNvSpPr txBox="1"/>
      </xdr:nvSpPr>
      <xdr:spPr>
        <a:xfrm>
          <a:off x="751353" y="2591245"/>
          <a:ext cx="5770004"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20</xdr:col>
      <xdr:colOff>16832</xdr:colOff>
      <xdr:row>8</xdr:row>
      <xdr:rowOff>85847</xdr:rowOff>
    </xdr:from>
    <xdr:to>
      <xdr:col>27</xdr:col>
      <xdr:colOff>1546</xdr:colOff>
      <xdr:row>14</xdr:row>
      <xdr:rowOff>47095</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FFE4FD55-C4A8-40A9-8F55-49BEF1C3A098}"/>
            </a:ext>
          </a:extLst>
        </xdr:cNvPr>
        <xdr:cNvSpPr/>
      </xdr:nvSpPr>
      <xdr:spPr>
        <a:xfrm>
          <a:off x="12780332" y="2573553"/>
          <a:ext cx="4355008"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20</xdr:col>
      <xdr:colOff>68262</xdr:colOff>
      <xdr:row>9</xdr:row>
      <xdr:rowOff>20638</xdr:rowOff>
    </xdr:from>
    <xdr:to>
      <xdr:col>26</xdr:col>
      <xdr:colOff>544513</xdr:colOff>
      <xdr:row>13</xdr:row>
      <xdr:rowOff>116638</xdr:rowOff>
    </xdr:to>
    <mc:AlternateContent xmlns:mc="http://schemas.openxmlformats.org/markup-compatibility/2006" xmlns:a14="http://schemas.microsoft.com/office/drawing/2010/main">
      <mc:Choice Requires="a14">
        <xdr:graphicFrame macro="">
          <xdr:nvGraphicFramePr>
            <xdr:cNvPr id="21" name="Year 3">
              <a:extLst>
                <a:ext uri="{FF2B5EF4-FFF2-40B4-BE49-F238E27FC236}">
                  <a16:creationId xmlns:a16="http://schemas.microsoft.com/office/drawing/2014/main" id="{D08D2AC0-8A16-467E-82E2-FF692AC5E6C8}"/>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2313179" y="2825221"/>
              <a:ext cx="4222751" cy="16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103187</xdr:colOff>
      <xdr:row>9</xdr:row>
      <xdr:rowOff>179292</xdr:rowOff>
    </xdr:from>
    <xdr:to>
      <xdr:col>10</xdr:col>
      <xdr:colOff>274637</xdr:colOff>
      <xdr:row>15</xdr:row>
      <xdr:rowOff>46160</xdr:rowOff>
    </xdr:to>
    <mc:AlternateContent xmlns:mc="http://schemas.openxmlformats.org/markup-compatibility/2006" xmlns:a14="http://schemas.microsoft.com/office/drawing/2010/main">
      <mc:Choice Requires="a14">
        <xdr:graphicFrame macro="">
          <xdr:nvGraphicFramePr>
            <xdr:cNvPr id="22" name="KPI 3">
              <a:extLst>
                <a:ext uri="{FF2B5EF4-FFF2-40B4-BE49-F238E27FC236}">
                  <a16:creationId xmlns:a16="http://schemas.microsoft.com/office/drawing/2014/main" id="{1A354390-5B80-4204-86D3-56CB20AE735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251354" y="2983875"/>
              <a:ext cx="5791200" cy="195178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0</xdr:colOff>
      <xdr:row>19</xdr:row>
      <xdr:rowOff>0</xdr:rowOff>
    </xdr:from>
    <xdr:to>
      <xdr:col>27</xdr:col>
      <xdr:colOff>8397</xdr:colOff>
      <xdr:row>34</xdr:row>
      <xdr:rowOff>133095</xdr:rowOff>
    </xdr:to>
    <xdr:graphicFrame macro="">
      <xdr:nvGraphicFramePr>
        <xdr:cNvPr id="24" name="Chart 23" descr="This chart displays performance data for National Highways.">
          <a:extLst>
            <a:ext uri="{FF2B5EF4-FFF2-40B4-BE49-F238E27FC236}">
              <a16:creationId xmlns:a16="http://schemas.microsoft.com/office/drawing/2014/main" id="{C366D042-1DF3-4A9B-847C-9C2B6F5B3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13607</xdr:colOff>
      <xdr:row>35</xdr:row>
      <xdr:rowOff>78441</xdr:rowOff>
    </xdr:from>
    <xdr:to>
      <xdr:col>16</xdr:col>
      <xdr:colOff>30594</xdr:colOff>
      <xdr:row>51</xdr:row>
      <xdr:rowOff>40024</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269308DF-D003-4422-AF6A-F8CA803DD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173738</xdr:colOff>
      <xdr:row>35</xdr:row>
      <xdr:rowOff>58119</xdr:rowOff>
    </xdr:from>
    <xdr:to>
      <xdr:col>21</xdr:col>
      <xdr:colOff>228003</xdr:colOff>
      <xdr:row>51</xdr:row>
      <xdr:rowOff>40024</xdr:rowOff>
    </xdr:to>
    <xdr:graphicFrame macro="">
      <xdr:nvGraphicFramePr>
        <xdr:cNvPr id="26" name="Chart 25" descr="This chart displays performance data for National Highways, Yorkshire and North East region">
          <a:extLst>
            <a:ext uri="{FF2B5EF4-FFF2-40B4-BE49-F238E27FC236}">
              <a16:creationId xmlns:a16="http://schemas.microsoft.com/office/drawing/2014/main" id="{AD761290-5EEF-401B-A53F-61A149D3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371147</xdr:colOff>
      <xdr:row>35</xdr:row>
      <xdr:rowOff>58119</xdr:rowOff>
    </xdr:from>
    <xdr:to>
      <xdr:col>27</xdr:col>
      <xdr:colOff>8397</xdr:colOff>
      <xdr:row>51</xdr:row>
      <xdr:rowOff>40024</xdr:rowOff>
    </xdr:to>
    <xdr:graphicFrame macro="">
      <xdr:nvGraphicFramePr>
        <xdr:cNvPr id="27" name="Chart 26" descr="This chart displays performance data for National Highways, Yorkshire and North East region">
          <a:extLst>
            <a:ext uri="{FF2B5EF4-FFF2-40B4-BE49-F238E27FC236}">
              <a16:creationId xmlns:a16="http://schemas.microsoft.com/office/drawing/2014/main" id="{F1B66D6B-756B-42FB-84CD-CC6BA8710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153941</xdr:rowOff>
    </xdr:from>
    <xdr:to>
      <xdr:col>16</xdr:col>
      <xdr:colOff>30594</xdr:colOff>
      <xdr:row>67</xdr:row>
      <xdr:rowOff>131084</xdr:rowOff>
    </xdr:to>
    <xdr:graphicFrame macro="">
      <xdr:nvGraphicFramePr>
        <xdr:cNvPr id="28" name="Chart 27" descr="This chart displays performance data for National Highways, Yorkshire and North East region">
          <a:extLst>
            <a:ext uri="{FF2B5EF4-FFF2-40B4-BE49-F238E27FC236}">
              <a16:creationId xmlns:a16="http://schemas.microsoft.com/office/drawing/2014/main" id="{E531D6BF-D7D4-4DA8-AEC0-08278554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173738</xdr:colOff>
      <xdr:row>51</xdr:row>
      <xdr:rowOff>153941</xdr:rowOff>
    </xdr:from>
    <xdr:to>
      <xdr:col>21</xdr:col>
      <xdr:colOff>228003</xdr:colOff>
      <xdr:row>67</xdr:row>
      <xdr:rowOff>131084</xdr:rowOff>
    </xdr:to>
    <xdr:graphicFrame macro="">
      <xdr:nvGraphicFramePr>
        <xdr:cNvPr id="29" name="Chart 28" descr="This chart displays performance data for National Highways, Yorkshire and North East region">
          <a:extLst>
            <a:ext uri="{FF2B5EF4-FFF2-40B4-BE49-F238E27FC236}">
              <a16:creationId xmlns:a16="http://schemas.microsoft.com/office/drawing/2014/main" id="{56AB4D2E-48D7-4A6C-BE00-A56BAB21E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371147</xdr:colOff>
      <xdr:row>51</xdr:row>
      <xdr:rowOff>153941</xdr:rowOff>
    </xdr:from>
    <xdr:to>
      <xdr:col>27</xdr:col>
      <xdr:colOff>8397</xdr:colOff>
      <xdr:row>67</xdr:row>
      <xdr:rowOff>131084</xdr:rowOff>
    </xdr:to>
    <xdr:graphicFrame macro="">
      <xdr:nvGraphicFramePr>
        <xdr:cNvPr id="30" name="Chart 29" descr="This chart displays performance data for National Highways, Yorkshire and North East region">
          <a:extLst>
            <a:ext uri="{FF2B5EF4-FFF2-40B4-BE49-F238E27FC236}">
              <a16:creationId xmlns:a16="http://schemas.microsoft.com/office/drawing/2014/main" id="{577C9CA3-9D13-4B26-89E2-AD60C1D3D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12701</xdr:rowOff>
    </xdr:from>
    <xdr:to>
      <xdr:col>3</xdr:col>
      <xdr:colOff>497202</xdr:colOff>
      <xdr:row>2</xdr:row>
      <xdr:rowOff>57150</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189E65F2-5F3F-2AF2-0767-0B40195A19E2}"/>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1750" y="12701"/>
              <a:ext cx="514985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295275</xdr:colOff>
      <xdr:row>0</xdr:row>
      <xdr:rowOff>28576</xdr:rowOff>
    </xdr:from>
    <xdr:to>
      <xdr:col>29</xdr:col>
      <xdr:colOff>165096</xdr:colOff>
      <xdr:row>3</xdr:row>
      <xdr:rowOff>93345</xdr:rowOff>
    </xdr:to>
    <mc:AlternateContent xmlns:mc="http://schemas.openxmlformats.org/markup-compatibility/2006" xmlns:a14="http://schemas.microsoft.com/office/drawing/2010/main">
      <mc:Choice Requires="a14">
        <xdr:graphicFrame macro="">
          <xdr:nvGraphicFramePr>
            <xdr:cNvPr id="3" name="KPI 2">
              <a:extLst>
                <a:ext uri="{FF2B5EF4-FFF2-40B4-BE49-F238E27FC236}">
                  <a16:creationId xmlns:a16="http://schemas.microsoft.com/office/drawing/2014/main" id="{362B4ED1-1CB1-8937-FF0E-C08F93F5CA23}"/>
                </a:ext>
              </a:extLst>
            </xdr:cNvPr>
            <xdr:cNvGraphicFramePr/>
          </xdr:nvGraphicFramePr>
          <xdr:xfrm>
            <a:off x="0" y="0"/>
            <a:ext cx="0" cy="0"/>
          </xdr:xfrm>
          <a:graphic>
            <a:graphicData uri="http://schemas.microsoft.com/office/drawing/2010/slicer">
              <sle:slicer xmlns:sle="http://schemas.microsoft.com/office/drawing/2010/slicer" name="KPI 2"/>
            </a:graphicData>
          </a:graphic>
        </xdr:graphicFrame>
      </mc:Choice>
      <mc:Fallback xmlns="">
        <xdr:sp macro="" textlink="">
          <xdr:nvSpPr>
            <xdr:cNvPr id="0" name=""/>
            <xdr:cNvSpPr>
              <a:spLocks noTextEdit="1"/>
            </xdr:cNvSpPr>
          </xdr:nvSpPr>
          <xdr:spPr>
            <a:xfrm>
              <a:off x="7305675" y="28576"/>
              <a:ext cx="13163548" cy="6191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ngeriz-Santos, Paula" refreshedDate="45244.576608680552" createdVersion="8" refreshedVersion="8" minRefreshableVersion="3" recordCount="61" xr:uid="{22EEF0B8-48B7-4C05-971C-E630F41C9CF5}">
  <cacheSource type="worksheet">
    <worksheetSource name="Data"/>
  </cacheSource>
  <cacheFields count="9">
    <cacheField name="Year" numFmtId="0">
      <sharedItems containsMixedTypes="1" containsNumber="1" containsInteger="1" minValue="2030" maxValue="2035" count="16">
        <s v="2015"/>
        <s v="2016"/>
        <s v="2017"/>
        <s v="2018"/>
        <s v="2019"/>
        <s v="2020"/>
        <s v="2021"/>
        <s v="2020-21"/>
        <s v="2021-22"/>
        <s v="2022-23"/>
        <n v="2034" u="1"/>
        <n v="2032" u="1"/>
        <n v="2030" u="1"/>
        <n v="2035" u="1"/>
        <n v="2033" u="1"/>
        <n v="2031" u="1"/>
      </sharedItems>
    </cacheField>
    <cacheField name="KPI" numFmtId="0">
      <sharedItems count="11">
        <s v="The number of people killed or seriously injured (KSI)"/>
        <s v="Total number of people killed or injured"/>
        <s v="The number of non-motorised and motorcyclist users killed or injured"/>
        <s v=" The number of motorcyclists killed or injured"/>
        <s v=" The number of cyclists killed or injured"/>
        <s v="The number of pedestrians killed or injured"/>
        <s v="The number of equestrians killed or injured"/>
        <s v="The number of injury collisions"/>
        <s v="The accident frequency rate for National Highways staff"/>
        <s v=" The accident frequency rate for National Highways supply chain staff"/>
        <s v="The % of traffic using iRAP 3 or above rated roads"/>
      </sharedItems>
    </cacheField>
    <cacheField name="National Highways" numFmtId="0">
      <sharedItems containsMixedTypes="1" containsNumber="1" minValue="0" maxValue="16375"/>
    </cacheField>
    <cacheField name="Yorkshire and North East" numFmtId="0">
      <sharedItems containsMixedTypes="1" containsNumber="1" minValue="0" maxValue="1647"/>
    </cacheField>
    <cacheField name="North West_x000a_" numFmtId="0">
      <sharedItems containsMixedTypes="1" containsNumber="1" minValue="0" maxValue="1580"/>
    </cacheField>
    <cacheField name="Midlands_x000a_" numFmtId="0">
      <sharedItems containsMixedTypes="1" containsNumber="1" minValue="0" maxValue="1915"/>
    </cacheField>
    <cacheField name="East_x000a_" numFmtId="0">
      <sharedItems containsMixedTypes="1" containsNumber="1" minValue="0" maxValue="2036"/>
    </cacheField>
    <cacheField name="South East_x000a_" numFmtId="0">
      <sharedItems containsMixedTypes="1" containsNumber="1" minValue="0" maxValue="3919"/>
    </cacheField>
    <cacheField name="South West_x000a_" numFmtId="0">
      <sharedItems containsMixedTypes="1" containsNumber="1" minValue="0" maxValue="1250"/>
    </cacheField>
  </cacheFields>
  <extLst>
    <ext xmlns:x14="http://schemas.microsoft.com/office/spreadsheetml/2009/9/main" uri="{725AE2AE-9491-48be-B2B4-4EB974FC3084}">
      <x14:pivotCacheDefinition pivotCacheId="7365978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x v="0"/>
    <x v="0"/>
    <n v="2328"/>
    <n v="0"/>
    <n v="0"/>
    <n v="0"/>
    <n v="0"/>
    <n v="0"/>
    <n v="0"/>
  </r>
  <r>
    <x v="1"/>
    <x v="0"/>
    <n v="2263"/>
    <n v="0"/>
    <n v="0"/>
    <n v="0"/>
    <n v="0"/>
    <n v="0"/>
    <n v="0"/>
  </r>
  <r>
    <x v="2"/>
    <x v="0"/>
    <n v="2072"/>
    <n v="0"/>
    <n v="0"/>
    <n v="0"/>
    <n v="0"/>
    <n v="0"/>
    <n v="0"/>
  </r>
  <r>
    <x v="3"/>
    <x v="0"/>
    <n v="2178"/>
    <n v="0"/>
    <n v="0"/>
    <n v="0"/>
    <n v="0"/>
    <n v="0"/>
    <n v="0"/>
  </r>
  <r>
    <x v="4"/>
    <x v="0"/>
    <n v="2060"/>
    <n v="0"/>
    <n v="0"/>
    <n v="0"/>
    <n v="0"/>
    <n v="0"/>
    <n v="0"/>
  </r>
  <r>
    <x v="5"/>
    <x v="0"/>
    <n v="1397"/>
    <n v="0"/>
    <n v="0"/>
    <n v="0"/>
    <n v="0"/>
    <n v="0"/>
    <n v="0"/>
  </r>
  <r>
    <x v="6"/>
    <x v="0"/>
    <n v="1857"/>
    <n v="0"/>
    <n v="0"/>
    <n v="0"/>
    <n v="0"/>
    <n v="0"/>
    <n v="0"/>
  </r>
  <r>
    <x v="0"/>
    <x v="1"/>
    <n v="16375"/>
    <s v="[x]"/>
    <s v="[x]"/>
    <s v="[x]"/>
    <s v="[x]"/>
    <s v="[x]"/>
    <s v="[x]"/>
  </r>
  <r>
    <x v="1"/>
    <x v="1"/>
    <n v="16233"/>
    <s v="[x]"/>
    <s v="[x]"/>
    <s v="[x]"/>
    <s v="[x]"/>
    <s v="[x]"/>
    <s v="[x]"/>
  </r>
  <r>
    <x v="2"/>
    <x v="1"/>
    <n v="14225"/>
    <s v="[x]"/>
    <s v="[x]"/>
    <s v="[x]"/>
    <s v="[x]"/>
    <s v="[x]"/>
    <s v="[x]"/>
  </r>
  <r>
    <x v="3"/>
    <x v="1"/>
    <n v="13380"/>
    <s v="[x]"/>
    <s v="[x]"/>
    <s v="[x]"/>
    <s v="[x]"/>
    <s v="[x]"/>
    <s v="[x]"/>
  </r>
  <r>
    <x v="4"/>
    <x v="1"/>
    <n v="12347"/>
    <n v="1647"/>
    <n v="1580"/>
    <n v="1915"/>
    <n v="2036"/>
    <n v="3919"/>
    <n v="1250"/>
  </r>
  <r>
    <x v="5"/>
    <x v="1"/>
    <n v="7873"/>
    <n v="965"/>
    <n v="944"/>
    <n v="1316"/>
    <n v="1284"/>
    <n v="2598"/>
    <n v="766"/>
  </r>
  <r>
    <x v="6"/>
    <x v="1"/>
    <n v="9819"/>
    <n v="1322"/>
    <n v="1268"/>
    <n v="1743"/>
    <n v="1457"/>
    <n v="3016"/>
    <n v="1013"/>
  </r>
  <r>
    <x v="0"/>
    <x v="2"/>
    <n v="1160"/>
    <s v="[x]"/>
    <s v="[x]"/>
    <s v="[x]"/>
    <s v="[x]"/>
    <s v="[x]"/>
    <s v="[x]"/>
  </r>
  <r>
    <x v="1"/>
    <x v="2"/>
    <n v="1170"/>
    <s v="[x]"/>
    <s v="[x]"/>
    <s v="[x]"/>
    <s v="[x]"/>
    <s v="[x]"/>
    <s v="[x]"/>
  </r>
  <r>
    <x v="2"/>
    <x v="2"/>
    <n v="1050"/>
    <s v="[x]"/>
    <s v="[x]"/>
    <s v="[x]"/>
    <s v="[x]"/>
    <s v="[x]"/>
    <s v="[x]"/>
  </r>
  <r>
    <x v="3"/>
    <x v="2"/>
    <n v="1036"/>
    <s v="[x]"/>
    <s v="[x]"/>
    <s v="[x]"/>
    <s v="[x]"/>
    <s v="[x]"/>
    <s v="[x]"/>
  </r>
  <r>
    <x v="4"/>
    <x v="2"/>
    <n v="962"/>
    <n v="118"/>
    <n v="78"/>
    <n v="192"/>
    <n v="128"/>
    <n v="333"/>
    <n v="113"/>
  </r>
  <r>
    <x v="5"/>
    <x v="2"/>
    <n v="605"/>
    <n v="74"/>
    <n v="57"/>
    <n v="103"/>
    <n v="91"/>
    <n v="196"/>
    <n v="84"/>
  </r>
  <r>
    <x v="6"/>
    <x v="2"/>
    <n v="803"/>
    <n v="73"/>
    <n v="68"/>
    <n v="156"/>
    <n v="142"/>
    <n v="252"/>
    <n v="112"/>
  </r>
  <r>
    <x v="0"/>
    <x v="3"/>
    <n v="849"/>
    <n v="0"/>
    <n v="0"/>
    <n v="0"/>
    <n v="0"/>
    <n v="0"/>
    <n v="0"/>
  </r>
  <r>
    <x v="1"/>
    <x v="3"/>
    <n v="864"/>
    <n v="0"/>
    <n v="0"/>
    <n v="0"/>
    <n v="0"/>
    <n v="0"/>
    <n v="0"/>
  </r>
  <r>
    <x v="2"/>
    <x v="3"/>
    <n v="760"/>
    <n v="0"/>
    <n v="0"/>
    <n v="0"/>
    <n v="0"/>
    <n v="0"/>
    <n v="0"/>
  </r>
  <r>
    <x v="3"/>
    <x v="3"/>
    <n v="785"/>
    <n v="0"/>
    <n v="0"/>
    <n v="0"/>
    <n v="0"/>
    <n v="0"/>
    <n v="0"/>
  </r>
  <r>
    <x v="4"/>
    <x v="3"/>
    <n v="694"/>
    <n v="0"/>
    <n v="0"/>
    <n v="0"/>
    <n v="0"/>
    <n v="0"/>
    <n v="0"/>
  </r>
  <r>
    <x v="5"/>
    <x v="3"/>
    <n v="404"/>
    <n v="0"/>
    <n v="0"/>
    <n v="0"/>
    <n v="0"/>
    <n v="0"/>
    <n v="0"/>
  </r>
  <r>
    <x v="6"/>
    <x v="3"/>
    <n v="547"/>
    <n v="0"/>
    <n v="0"/>
    <n v="0"/>
    <n v="0"/>
    <n v="0"/>
    <n v="0"/>
  </r>
  <r>
    <x v="0"/>
    <x v="4"/>
    <n v="153"/>
    <n v="0"/>
    <n v="0"/>
    <n v="0"/>
    <n v="0"/>
    <n v="0"/>
    <n v="0"/>
  </r>
  <r>
    <x v="1"/>
    <x v="4"/>
    <n v="152"/>
    <n v="0"/>
    <n v="0"/>
    <n v="0"/>
    <n v="0"/>
    <n v="0"/>
    <n v="0"/>
  </r>
  <r>
    <x v="2"/>
    <x v="4"/>
    <n v="137"/>
    <n v="0"/>
    <n v="0"/>
    <n v="0"/>
    <n v="0"/>
    <n v="0"/>
    <n v="0"/>
  </r>
  <r>
    <x v="3"/>
    <x v="4"/>
    <n v="103"/>
    <n v="0"/>
    <n v="0"/>
    <n v="0"/>
    <n v="0"/>
    <n v="0"/>
    <n v="0"/>
  </r>
  <r>
    <x v="4"/>
    <x v="4"/>
    <n v="112"/>
    <n v="0"/>
    <n v="0"/>
    <n v="0"/>
    <n v="0"/>
    <n v="0"/>
    <n v="0"/>
  </r>
  <r>
    <x v="5"/>
    <x v="4"/>
    <n v="99"/>
    <n v="0"/>
    <n v="0"/>
    <n v="0"/>
    <n v="0"/>
    <n v="0"/>
    <n v="0"/>
  </r>
  <r>
    <x v="6"/>
    <x v="4"/>
    <n v="113"/>
    <n v="0"/>
    <n v="0"/>
    <n v="0"/>
    <n v="0"/>
    <n v="0"/>
    <n v="0"/>
  </r>
  <r>
    <x v="0"/>
    <x v="5"/>
    <n v="158"/>
    <n v="0"/>
    <n v="0"/>
    <n v="0"/>
    <n v="0"/>
    <n v="0"/>
    <n v="0"/>
  </r>
  <r>
    <x v="1"/>
    <x v="5"/>
    <n v="154"/>
    <n v="0"/>
    <n v="0"/>
    <n v="0"/>
    <n v="0"/>
    <n v="0"/>
    <n v="0"/>
  </r>
  <r>
    <x v="2"/>
    <x v="5"/>
    <n v="153"/>
    <n v="0"/>
    <n v="0"/>
    <n v="0"/>
    <n v="0"/>
    <n v="0"/>
    <n v="0"/>
  </r>
  <r>
    <x v="3"/>
    <x v="5"/>
    <n v="148"/>
    <n v="0"/>
    <n v="0"/>
    <n v="0"/>
    <n v="0"/>
    <n v="0"/>
    <n v="0"/>
  </r>
  <r>
    <x v="4"/>
    <x v="5"/>
    <n v="156"/>
    <n v="0"/>
    <n v="0"/>
    <n v="0"/>
    <n v="0"/>
    <n v="0"/>
    <n v="0"/>
  </r>
  <r>
    <x v="5"/>
    <x v="5"/>
    <n v="102"/>
    <n v="0"/>
    <n v="0"/>
    <n v="0"/>
    <n v="0"/>
    <n v="0"/>
    <n v="0"/>
  </r>
  <r>
    <x v="6"/>
    <x v="5"/>
    <n v="143"/>
    <n v="0"/>
    <n v="0"/>
    <n v="0"/>
    <n v="0"/>
    <n v="0"/>
    <n v="0"/>
  </r>
  <r>
    <x v="0"/>
    <x v="6"/>
    <n v="0"/>
    <n v="0"/>
    <n v="0"/>
    <n v="0"/>
    <n v="0"/>
    <n v="0"/>
    <n v="0"/>
  </r>
  <r>
    <x v="1"/>
    <x v="6"/>
    <n v="0"/>
    <n v="0"/>
    <n v="0"/>
    <n v="0"/>
    <n v="0"/>
    <n v="0"/>
    <n v="0"/>
  </r>
  <r>
    <x v="2"/>
    <x v="6"/>
    <n v="0"/>
    <n v="0"/>
    <n v="0"/>
    <n v="0"/>
    <n v="0"/>
    <n v="0"/>
    <n v="0"/>
  </r>
  <r>
    <x v="3"/>
    <x v="6"/>
    <n v="0"/>
    <n v="0"/>
    <n v="0"/>
    <n v="0"/>
    <n v="0"/>
    <n v="0"/>
    <n v="0"/>
  </r>
  <r>
    <x v="4"/>
    <x v="6"/>
    <n v="0"/>
    <n v="0"/>
    <n v="0"/>
    <n v="0"/>
    <n v="0"/>
    <n v="0"/>
    <n v="0"/>
  </r>
  <r>
    <x v="5"/>
    <x v="6"/>
    <n v="0"/>
    <n v="0"/>
    <n v="0"/>
    <n v="0"/>
    <n v="0"/>
    <n v="0"/>
    <n v="0"/>
  </r>
  <r>
    <x v="6"/>
    <x v="6"/>
    <n v="0"/>
    <n v="0"/>
    <n v="0"/>
    <n v="0"/>
    <n v="0"/>
    <n v="0"/>
    <n v="0"/>
  </r>
  <r>
    <x v="4"/>
    <x v="7"/>
    <n v="7905"/>
    <n v="1026"/>
    <n v="935"/>
    <n v="1312"/>
    <n v="1259"/>
    <n v="2591"/>
    <n v="782"/>
  </r>
  <r>
    <x v="5"/>
    <x v="7"/>
    <n v="5267"/>
    <n v="636"/>
    <n v="605"/>
    <n v="910"/>
    <n v="833"/>
    <n v="1765"/>
    <n v="518"/>
  </r>
  <r>
    <x v="6"/>
    <x v="7"/>
    <n v="6539"/>
    <n v="849"/>
    <n v="798"/>
    <n v="1237"/>
    <n v="940"/>
    <n v="2043"/>
    <n v="672"/>
  </r>
  <r>
    <x v="7"/>
    <x v="8"/>
    <n v="0.05"/>
    <n v="0.06"/>
    <n v="0"/>
    <n v="0.05"/>
    <n v="0.11"/>
    <n v="0.06"/>
    <n v="0"/>
  </r>
  <r>
    <x v="8"/>
    <x v="8"/>
    <n v="0.05"/>
    <n v="0.06"/>
    <n v="0.14000000000000001"/>
    <n v="0.13"/>
    <n v="0"/>
    <n v="0.05"/>
    <n v="0.06"/>
  </r>
  <r>
    <x v="9"/>
    <x v="8"/>
    <n v="0.03"/>
    <n v="0.1"/>
    <n v="0"/>
    <n v="0.02"/>
    <n v="0"/>
    <n v="0"/>
    <n v="0.06"/>
  </r>
  <r>
    <x v="7"/>
    <x v="9"/>
    <n v="0.05"/>
    <n v="0"/>
    <n v="7.0000000000000007E-2"/>
    <n v="0.03"/>
    <n v="0"/>
    <n v="7.0000000000000007E-2"/>
    <n v="0.14000000000000001"/>
  </r>
  <r>
    <x v="8"/>
    <x v="9"/>
    <n v="7.0000000000000007E-2"/>
    <n v="0.05"/>
    <n v="0.14000000000000001"/>
    <n v="0.03"/>
    <n v="0.08"/>
    <n v="0.05"/>
    <n v="0.11"/>
  </r>
  <r>
    <x v="9"/>
    <x v="9"/>
    <n v="0.08"/>
    <n v="0.09"/>
    <n v="0.05"/>
    <n v="0.08"/>
    <n v="0.08"/>
    <n v="0.12"/>
    <n v="0.03"/>
  </r>
  <r>
    <x v="7"/>
    <x v="10"/>
    <s v=""/>
    <s v=""/>
    <s v=""/>
    <s v=""/>
    <s v=""/>
    <s v=""/>
    <s v=""/>
  </r>
  <r>
    <x v="8"/>
    <x v="10"/>
    <n v="89"/>
    <n v="0"/>
    <n v="0"/>
    <n v="0"/>
    <n v="0"/>
    <n v="0"/>
    <n v="0"/>
  </r>
  <r>
    <x v="9"/>
    <x v="10"/>
    <n v="89"/>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BA1BA7E-CC9F-4A7B-8FA0-2DFAE0CC0923}" name="PivotTable17"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9" rowHeaderCaption="Year">
  <location ref="D5:E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dataField="1" showAll="0"/>
    <pivotField showAll="0"/>
    <pivotField showAll="0"/>
    <pivotField showAll="0"/>
    <pivotField showAll="0"/>
    <pivotField showAll="0"/>
  </pivotFields>
  <rowFields count="1">
    <field x="0"/>
  </rowFields>
  <rowItems count="6">
    <i>
      <x v="1"/>
    </i>
    <i>
      <x v="2"/>
    </i>
    <i>
      <x v="3"/>
    </i>
    <i>
      <x v="4"/>
    </i>
    <i>
      <x v="5"/>
    </i>
    <i>
      <x v="14"/>
    </i>
  </rowItems>
  <colItems count="1">
    <i/>
  </colItems>
  <dataFields count="1">
    <dataField name=" Yorkshire and North East" fld="3" baseField="0" baseItem="0"/>
  </dataFields>
  <chartFormats count="12">
    <chartFormat chart="4" format="24" series="1">
      <pivotArea type="data" outline="0" fieldPosition="0">
        <references count="1">
          <reference field="4294967294" count="1" selected="0">
            <x v="0"/>
          </reference>
        </references>
      </pivotArea>
    </chartFormat>
    <chartFormat chart="4" format="25">
      <pivotArea type="data" outline="0" fieldPosition="0">
        <references count="2">
          <reference field="4294967294" count="1" selected="0">
            <x v="0"/>
          </reference>
          <reference field="0" count="1" selected="0">
            <x v="4"/>
          </reference>
        </references>
      </pivotArea>
    </chartFormat>
    <chartFormat chart="4" format="26">
      <pivotArea type="data" outline="0" fieldPosition="0">
        <references count="2">
          <reference field="4294967294" count="1" selected="0">
            <x v="0"/>
          </reference>
          <reference field="0" count="1" selected="0">
            <x v="12"/>
          </reference>
        </references>
      </pivotArea>
    </chartFormat>
    <chartFormat chart="4" format="27">
      <pivotArea type="data" outline="0" fieldPosition="0">
        <references count="2">
          <reference field="4294967294" count="1" selected="0">
            <x v="0"/>
          </reference>
          <reference field="0" count="1" selected="0">
            <x v="13"/>
          </reference>
        </references>
      </pivotArea>
    </chartFormat>
    <chartFormat chart="4" format="28">
      <pivotArea type="data" outline="0" fieldPosition="0">
        <references count="2">
          <reference field="4294967294" count="1" selected="0">
            <x v="0"/>
          </reference>
          <reference field="0" count="1" selected="0">
            <x v="5"/>
          </reference>
        </references>
      </pivotArea>
    </chartFormat>
    <chartFormat chart="4" format="29">
      <pivotArea type="data" outline="0" fieldPosition="0">
        <references count="2">
          <reference field="4294967294" count="1" selected="0">
            <x v="0"/>
          </reference>
          <reference field="0" count="1" selected="0">
            <x v="1"/>
          </reference>
        </references>
      </pivotArea>
    </chartFormat>
    <chartFormat chart="4" format="30">
      <pivotArea type="data" outline="0" fieldPosition="0">
        <references count="1">
          <reference field="4294967294" count="1" selected="0">
            <x v="0"/>
          </reference>
        </references>
      </pivotArea>
    </chartFormat>
    <chartFormat chart="4" format="31">
      <pivotArea type="data" outline="0" fieldPosition="0">
        <references count="2">
          <reference field="4294967294" count="1" selected="0">
            <x v="0"/>
          </reference>
          <reference field="0" count="1" selected="0">
            <x v="0"/>
          </reference>
        </references>
      </pivotArea>
    </chartFormat>
    <chartFormat chart="4" format="32">
      <pivotArea type="data" outline="0" fieldPosition="0">
        <references count="2">
          <reference field="4294967294" count="1" selected="0">
            <x v="0"/>
          </reference>
          <reference field="0" count="1" selected="0">
            <x v="2"/>
          </reference>
        </references>
      </pivotArea>
    </chartFormat>
    <chartFormat chart="4" format="33">
      <pivotArea type="data" outline="0" fieldPosition="0">
        <references count="2">
          <reference field="4294967294" count="1" selected="0">
            <x v="0"/>
          </reference>
          <reference field="0" count="1" selected="0">
            <x v="3"/>
          </reference>
        </references>
      </pivotArea>
    </chartFormat>
    <chartFormat chart="4" format="34">
      <pivotArea type="data" outline="0" fieldPosition="0">
        <references count="2">
          <reference field="4294967294" count="1" selected="0">
            <x v="0"/>
          </reference>
          <reference field="0" count="1" selected="0">
            <x v="14"/>
          </reference>
        </references>
      </pivotArea>
    </chartFormat>
    <chartFormat chart="4" format="35">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1556DD6-B1B7-40C1-A894-F6557A11E5DB}" name="PivotTable22"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showAll="0"/>
    <pivotField dataField="1" showAll="0"/>
  </pivotFields>
  <rowFields count="1">
    <field x="0"/>
  </rowFields>
  <rowItems count="6">
    <i>
      <x v="1"/>
    </i>
    <i>
      <x v="2"/>
    </i>
    <i>
      <x v="3"/>
    </i>
    <i>
      <x v="4"/>
    </i>
    <i>
      <x v="5"/>
    </i>
    <i>
      <x v="14"/>
    </i>
  </rowItems>
  <colItems count="1">
    <i/>
  </colItems>
  <dataFields count="1">
    <dataField name=" South West_x000a_" fld="8" baseField="0" baseItem="0"/>
  </dataFields>
  <chartFormats count="12">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 chart="3" format="37">
      <pivotArea type="data" outline="0" fieldPosition="0">
        <references count="2">
          <reference field="4294967294" count="1" selected="0">
            <x v="0"/>
          </reference>
          <reference field="0" count="1" selected="0">
            <x v="14"/>
          </reference>
        </references>
      </pivotArea>
    </chartFormat>
    <chartFormat chart="3" format="38">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68E5B1-1F50-4B22-9315-2B9ACC022F5A}" name="PivotTable19"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dataField="1" showAll="0"/>
    <pivotField showAll="0"/>
    <pivotField showAll="0"/>
    <pivotField showAll="0"/>
  </pivotFields>
  <rowFields count="1">
    <field x="0"/>
  </rowFields>
  <rowItems count="6">
    <i>
      <x v="1"/>
    </i>
    <i>
      <x v="2"/>
    </i>
    <i>
      <x v="3"/>
    </i>
    <i>
      <x v="4"/>
    </i>
    <i>
      <x v="5"/>
    </i>
    <i>
      <x v="14"/>
    </i>
  </rowItems>
  <colItems count="1">
    <i/>
  </colItems>
  <dataFields count="1">
    <dataField name=" Midlands_x000a_" fld="5" baseField="0" baseItem="0"/>
  </dataFields>
  <chartFormats count="12">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8">
      <pivotArea type="data" outline="0" fieldPosition="0">
        <references count="2">
          <reference field="4294967294" count="1" selected="0">
            <x v="0"/>
          </reference>
          <reference field="0" count="1" selected="0">
            <x v="12"/>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1"/>
          </reference>
        </references>
      </pivotArea>
    </chartFormat>
    <chartFormat chart="3" format="3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14"/>
          </reference>
        </references>
      </pivotArea>
    </chartFormat>
    <chartFormat chart="3" format="37">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6CB319-5DF3-4143-8AB7-A6C5E884D6D4}" name="PivotTable20"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dataField="1" showAll="0"/>
    <pivotField showAll="0"/>
    <pivotField showAll="0"/>
  </pivotFields>
  <rowFields count="1">
    <field x="0"/>
  </rowFields>
  <rowItems count="6">
    <i>
      <x v="1"/>
    </i>
    <i>
      <x v="2"/>
    </i>
    <i>
      <x v="3"/>
    </i>
    <i>
      <x v="4"/>
    </i>
    <i>
      <x v="5"/>
    </i>
    <i>
      <x v="14"/>
    </i>
  </rowItems>
  <colItems count="1">
    <i/>
  </colItems>
  <dataFields count="1">
    <dataField name=" East_x000a_" fld="6" baseField="0" baseItem="0"/>
  </dataFields>
  <chartFormats count="5">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4"/>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0"/>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05469BD-3602-4444-B448-2F4832AA99FA}" name="PivotTable16" cacheId="4"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10" rowHeaderCaption="Year">
  <location ref="A5:B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dataField="1" showAll="0"/>
    <pivotField showAll="0"/>
    <pivotField showAll="0"/>
    <pivotField showAll="0"/>
    <pivotField showAll="0"/>
    <pivotField showAll="0"/>
    <pivotField showAll="0"/>
  </pivotFields>
  <rowFields count="1">
    <field x="0"/>
  </rowFields>
  <rowItems count="6">
    <i>
      <x v="1"/>
    </i>
    <i>
      <x v="2"/>
    </i>
    <i>
      <x v="3"/>
    </i>
    <i>
      <x v="4"/>
    </i>
    <i>
      <x v="5"/>
    </i>
    <i>
      <x v="14"/>
    </i>
  </rowItems>
  <colItems count="1">
    <i/>
  </colItems>
  <dataFields count="1">
    <dataField name=" National Highways" fld="2"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4">
    <chartFormat chart="1"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7" format="25">
      <pivotArea type="data" outline="0" fieldPosition="0">
        <references count="1">
          <reference field="4294967294" count="1" selected="0">
            <x v="0"/>
          </reference>
        </references>
      </pivotArea>
    </chartFormat>
    <chartFormat chart="7" format="26">
      <pivotArea type="data" outline="0" fieldPosition="0">
        <references count="2">
          <reference field="4294967294" count="1" selected="0">
            <x v="0"/>
          </reference>
          <reference field="0" count="1" selected="0">
            <x v="0"/>
          </reference>
        </references>
      </pivotArea>
    </chartFormat>
    <chartFormat chart="7" format="27">
      <pivotArea type="data" outline="0" fieldPosition="0">
        <references count="2">
          <reference field="4294967294" count="1" selected="0">
            <x v="0"/>
          </reference>
          <reference field="0" count="1" selected="0">
            <x v="1"/>
          </reference>
        </references>
      </pivotArea>
    </chartFormat>
    <chartFormat chart="7" format="28">
      <pivotArea type="data" outline="0" fieldPosition="0">
        <references count="2">
          <reference field="4294967294" count="1" selected="0">
            <x v="0"/>
          </reference>
          <reference field="0" count="1" selected="0">
            <x v="2"/>
          </reference>
        </references>
      </pivotArea>
    </chartFormat>
    <chartFormat chart="7" format="29">
      <pivotArea type="data" outline="0" fieldPosition="0">
        <references count="2">
          <reference field="4294967294" count="1" selected="0">
            <x v="0"/>
          </reference>
          <reference field="0" count="1" selected="0">
            <x v="3"/>
          </reference>
        </references>
      </pivotArea>
    </chartFormat>
    <chartFormat chart="7" format="30">
      <pivotArea type="data" outline="0" fieldPosition="0">
        <references count="2">
          <reference field="4294967294" count="1" selected="0">
            <x v="0"/>
          </reference>
          <reference field="0" count="1" selected="0">
            <x v="4"/>
          </reference>
        </references>
      </pivotArea>
    </chartFormat>
    <chartFormat chart="7" format="31">
      <pivotArea type="data" outline="0" fieldPosition="0">
        <references count="2">
          <reference field="4294967294" count="1" selected="0">
            <x v="0"/>
          </reference>
          <reference field="0" count="1" selected="0">
            <x v="5"/>
          </reference>
        </references>
      </pivotArea>
    </chartFormat>
    <chartFormat chart="7" format="32">
      <pivotArea type="data" outline="0" fieldPosition="0">
        <references count="2">
          <reference field="4294967294" count="1" selected="0">
            <x v="0"/>
          </reference>
          <reference field="0" count="1" selected="0">
            <x v="12"/>
          </reference>
        </references>
      </pivotArea>
    </chartFormat>
    <chartFormat chart="7" format="33">
      <pivotArea type="data" outline="0" fieldPosition="0">
        <references count="2">
          <reference field="4294967294" count="1" selected="0">
            <x v="0"/>
          </reference>
          <reference field="0" count="1" selected="0">
            <x v="13"/>
          </reference>
        </references>
      </pivotArea>
    </chartFormat>
    <chartFormat chart="7" format="34">
      <pivotArea type="data" outline="0" fieldPosition="0">
        <references count="2">
          <reference field="4294967294" count="1" selected="0">
            <x v="0"/>
          </reference>
          <reference field="0" count="1" selected="0">
            <x v="14"/>
          </reference>
        </references>
      </pivotArea>
    </chartFormat>
    <chartFormat chart="7" format="35">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ABF60B7-1584-4A44-B5A0-B22211ACA74D}" name="PivotTable15"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3:H49" firstHeaderRow="0" firstDataRow="1" firstDataCol="1" rowPageCount="1" colPageCount="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axis="axisPage" multipleItemSelectionAllowed="1" showAll="0">
      <items count="12">
        <item h="1" x="4"/>
        <item h="1" x="3"/>
        <item h="1" x="8"/>
        <item h="1" x="6"/>
        <item h="1" x="7"/>
        <item h="1" x="2"/>
        <item h="1" x="5"/>
        <item h="1" x="1"/>
        <item x="0"/>
        <item n="The accident frequency rate for National Highways supply chain staff" h="1" x="9"/>
        <item h="1"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6">
    <i>
      <x v="1"/>
    </i>
    <i>
      <x v="2"/>
    </i>
    <i>
      <x v="3"/>
    </i>
    <i>
      <x v="4"/>
    </i>
    <i>
      <x v="5"/>
    </i>
    <i>
      <x v="14"/>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A8633D5-A7C3-494F-B39A-37C949A0094C}" name="PivotTable18"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G5:H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showAll="0"/>
    <pivotField dataField="1" showAll="0"/>
    <pivotField showAll="0"/>
    <pivotField showAll="0"/>
    <pivotField showAll="0"/>
    <pivotField showAll="0"/>
  </pivotFields>
  <rowFields count="1">
    <field x="0"/>
  </rowFields>
  <rowItems count="6">
    <i>
      <x v="1"/>
    </i>
    <i>
      <x v="2"/>
    </i>
    <i>
      <x v="3"/>
    </i>
    <i>
      <x v="4"/>
    </i>
    <i>
      <x v="5"/>
    </i>
    <i>
      <x v="14"/>
    </i>
  </rowItems>
  <colItems count="1">
    <i/>
  </colItems>
  <dataFields count="1">
    <dataField name=" North West_x000a_" fld="4" baseField="0" baseItem="0"/>
  </dataFields>
  <chartFormats count="12">
    <chartFormat chart="3" format="28" series="1">
      <pivotArea type="data" outline="0" fieldPosition="0">
        <references count="1">
          <reference field="4294967294" count="1" selected="0">
            <x v="0"/>
          </reference>
        </references>
      </pivotArea>
    </chartFormat>
    <chartFormat chart="3" format="29">
      <pivotArea type="data" outline="0" fieldPosition="0">
        <references count="2">
          <reference field="4294967294" count="1" selected="0">
            <x v="0"/>
          </reference>
          <reference field="0" count="1" selected="0">
            <x v="13"/>
          </reference>
        </references>
      </pivotArea>
    </chartFormat>
    <chartFormat chart="3" format="30">
      <pivotArea type="data" outline="0" fieldPosition="0">
        <references count="2">
          <reference field="4294967294" count="1" selected="0">
            <x v="0"/>
          </reference>
          <reference field="0" count="1" selected="0">
            <x v="12"/>
          </reference>
        </references>
      </pivotArea>
    </chartFormat>
    <chartFormat chart="3" format="31">
      <pivotArea type="data" outline="0" fieldPosition="0">
        <references count="2">
          <reference field="4294967294" count="1" selected="0">
            <x v="0"/>
          </reference>
          <reference field="0" count="1" selected="0">
            <x v="5"/>
          </reference>
        </references>
      </pivotArea>
    </chartFormat>
    <chartFormat chart="3" format="32">
      <pivotArea type="data" outline="0" fieldPosition="0">
        <references count="2">
          <reference field="4294967294" count="1" selected="0">
            <x v="0"/>
          </reference>
          <reference field="0" count="1" selected="0">
            <x v="1"/>
          </reference>
        </references>
      </pivotArea>
    </chartFormat>
    <chartFormat chart="3" format="33">
      <pivotArea type="data" outline="0" fieldPosition="0">
        <references count="1">
          <reference field="4294967294" count="1" selected="0">
            <x v="0"/>
          </reference>
        </references>
      </pivotArea>
    </chartFormat>
    <chartFormat chart="3" format="34">
      <pivotArea type="data" outline="0" fieldPosition="0">
        <references count="2">
          <reference field="4294967294" count="1" selected="0">
            <x v="0"/>
          </reference>
          <reference field="0" count="1" selected="0">
            <x v="0"/>
          </reference>
        </references>
      </pivotArea>
    </chartFormat>
    <chartFormat chart="3" format="35">
      <pivotArea type="data" outline="0" fieldPosition="0">
        <references count="2">
          <reference field="4294967294" count="1" selected="0">
            <x v="0"/>
          </reference>
          <reference field="0" count="1" selected="0">
            <x v="2"/>
          </reference>
        </references>
      </pivotArea>
    </chartFormat>
    <chartFormat chart="3" format="36">
      <pivotArea type="data" outline="0" fieldPosition="0">
        <references count="2">
          <reference field="4294967294" count="1" selected="0">
            <x v="0"/>
          </reference>
          <reference field="0" count="1" selected="0">
            <x v="3"/>
          </reference>
        </references>
      </pivotArea>
    </chartFormat>
    <chartFormat chart="3" format="37">
      <pivotArea type="data" outline="0" fieldPosition="0">
        <references count="2">
          <reference field="4294967294" count="1" selected="0">
            <x v="0"/>
          </reference>
          <reference field="0" count="1" selected="0">
            <x v="4"/>
          </reference>
        </references>
      </pivotArea>
    </chartFormat>
    <chartFormat chart="3" format="38">
      <pivotArea type="data" outline="0" fieldPosition="0">
        <references count="2">
          <reference field="4294967294" count="1" selected="0">
            <x v="0"/>
          </reference>
          <reference field="0" count="1" selected="0">
            <x v="14"/>
          </reference>
        </references>
      </pivotArea>
    </chartFormat>
    <chartFormat chart="3" format="39">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BCA0C5A-3AF9-41BB-B975-FAA53D197804}" name="PivotTable21" cacheId="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11" firstHeaderRow="1" firstDataRow="1" firstDataCol="1"/>
  <pivotFields count="9">
    <pivotField axis="axisRow" showAll="0">
      <items count="17">
        <item h="1" x="0"/>
        <item x="1"/>
        <item x="2"/>
        <item x="3"/>
        <item x="4"/>
        <item x="5"/>
        <item h="1" m="1" x="12"/>
        <item h="1" m="1" x="15"/>
        <item h="1" m="1" x="11"/>
        <item h="1" m="1" x="14"/>
        <item h="1" m="1" x="10"/>
        <item h="1" m="1" x="13"/>
        <item h="1" x="7"/>
        <item h="1" x="8"/>
        <item x="6"/>
        <item h="1" x="9"/>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dataField="1" showAll="0"/>
    <pivotField showAll="0"/>
  </pivotFields>
  <rowFields count="1">
    <field x="0"/>
  </rowFields>
  <rowItems count="6">
    <i>
      <x v="1"/>
    </i>
    <i>
      <x v="2"/>
    </i>
    <i>
      <x v="3"/>
    </i>
    <i>
      <x v="4"/>
    </i>
    <i>
      <x v="5"/>
    </i>
    <i>
      <x v="14"/>
    </i>
  </rowItems>
  <colItems count="1">
    <i/>
  </colItems>
  <dataFields count="1">
    <dataField name=" South East_x000a_" fld="7" baseField="0" baseItem="0"/>
  </dataFields>
  <chartFormats count="12">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 chart="3" format="37">
      <pivotArea type="data" outline="0" fieldPosition="0">
        <references count="2">
          <reference field="4294967294" count="1" selected="0">
            <x v="0"/>
          </reference>
          <reference field="0" count="1" selected="0">
            <x v="14"/>
          </reference>
        </references>
      </pivotArea>
    </chartFormat>
    <chartFormat chart="3" format="38">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60E1100D-7BD0-45BE-90F8-1CE97B020F0D}" sourceName="Year">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6">
        <i x="0"/>
        <i x="1" s="1"/>
        <i x="2" s="1"/>
        <i x="3" s="1"/>
        <i x="4" s="1"/>
        <i x="5" s="1"/>
        <i x="6" s="1"/>
        <i x="7" nd="1"/>
        <i x="8" nd="1"/>
        <i x="9" nd="1"/>
        <i x="12" nd="1"/>
        <i x="15" nd="1"/>
        <i x="11" nd="1"/>
        <i x="14" nd="1"/>
        <i x="10" nd="1"/>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298E3BF9-3E8F-403C-B3F3-9C25C1F28EDC}" sourceName="KPI">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1">
        <i x="4"/>
        <i x="3"/>
        <i x="6"/>
        <i x="7"/>
        <i x="2"/>
        <i x="5"/>
        <i x="0" s="1"/>
        <i x="1"/>
        <i x="10" nd="1"/>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0AB7B58-E9E7-4112-9BC5-A7CFC2C86833}" cache="Slicer_Year1" caption="Year" columnCount="5" showCaption="0" style="Slicer Style 1" lockedPosition="1" rowHeight="432000"/>
  <slicer name="KPI 3" xr10:uid="{F135710A-50D0-41CC-90E7-1EF0B5A59B8A}" cache="Slicer_KPI1" caption="K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1AD1DA1A-DA86-4751-BD74-04B4793254F6}" cache="Slicer_Year1" caption="Year" columnCount="7" showCaption="0" rowHeight="241300"/>
  <slicer name="KPI 2" xr10:uid="{6980D8AC-5535-4E0F-9BC9-501C9955F641}" cache="Slicer_KPI1" caption="KPI" columnCount="10"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E33297-F8C6-43D4-9387-EB195FDC907D}" name="Notes_Table1" displayName="Notes_Table1" ref="A3:B10" totalsRowShown="0">
  <autoFilter ref="A3:B10" xr:uid="{CBE33297-F8C6-43D4-9387-EB195FDC907D}">
    <filterColumn colId="0" hiddenButton="1"/>
    <filterColumn colId="1" hiddenButton="1"/>
  </autoFilter>
  <tableColumns count="2">
    <tableColumn id="1" xr3:uid="{5AE897BE-3311-47A9-B7C2-45249EB3153D}" name="Note number " dataDxfId="90"/>
    <tableColumn id="2" xr3:uid="{3F4EC788-3E8F-4A07-A7AC-2321A5D8D41B}" name="Note text " dataDxfId="8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05184D-5FDF-4DE3-80C8-B232C67647C1}" name="Table_1h" displayName="Table_1h" ref="A3:H6" totalsRowShown="0" headerRowDxfId="38" dataDxfId="37">
  <autoFilter ref="A3:H6" xr:uid="{D605184D-5FDF-4DE3-80C8-B232C67647C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3C6AAC7-E4FD-4438-81A4-249CA22209EA}" name="Time period" dataDxfId="36"/>
    <tableColumn id="2" xr3:uid="{BF61AE86-5AED-4D03-9054-FFB21EA95B9E}" name="National Highways_x000a_(Number) " dataDxfId="35"/>
    <tableColumn id="3" xr3:uid="{C18388CA-1692-4F57-A320-68EA54E339AD}" name="Yorkshire and North East_x000a_(Number) " dataDxfId="34"/>
    <tableColumn id="4" xr3:uid="{DFA0F801-5A02-46D7-A3AE-A2B875BF6F5B}" name="North West_x000a_(Number) " dataDxfId="33"/>
    <tableColumn id="5" xr3:uid="{C14A9F4A-6D7D-41A4-92D0-1596F37489CF}" name="Midlands_x000a_(Number) " dataDxfId="32"/>
    <tableColumn id="6" xr3:uid="{D162A173-2AA7-48DB-84E4-94D9F4D039A9}" name="East_x000a_(Number) " dataDxfId="31"/>
    <tableColumn id="7" xr3:uid="{11505208-719D-404B-AD46-7703C1668FB6}" name="South East_x000a_(Number) " dataDxfId="30"/>
    <tableColumn id="8" xr3:uid="{7DAEE2E1-2480-4DAA-9491-CA991FA146E2}" name="South West_x000a_(Number) " dataDxfId="2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5BBDBF4-D444-4BD8-86B9-EC85230366FF}" name="Table_1i" displayName="Table_1i" ref="A3:H6" totalsRowShown="0">
  <autoFilter ref="A3:H6" xr:uid="{15BBDBF4-D444-4BD8-86B9-EC85230366F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EF7C387-F230-4F71-915A-7105A06E42BB}" name="Time period" dataDxfId="28"/>
    <tableColumn id="2" xr3:uid="{970A03FA-E990-4D40-A1FC-58C0AB0DE57E}" name="  National Highways   _x000a_(RIDDORs per 100,000 hours worked) " dataDxfId="27"/>
    <tableColumn id="3" xr3:uid="{59A14824-6ACC-4609-8106-060FA612DB82}" name="Yorkshire and North East_x000a_(RIDDORs per 100,000 hours worked)" dataDxfId="26" dataCellStyle="-"/>
    <tableColumn id="4" xr3:uid="{63C3625D-58AF-4485-8E56-CEE67CD05066}" name="North West_x000a_(RIDDORs per 100,000 hours worked)" dataDxfId="25" dataCellStyle="-"/>
    <tableColumn id="5" xr3:uid="{27B5A6B3-F2CC-4E86-A179-9C2A462F2B89}" name="Midlands_x000a_(RIDDORs per 100,000 hours worked)" dataDxfId="24" dataCellStyle="-"/>
    <tableColumn id="6" xr3:uid="{718CC317-362C-423D-B045-042FB9BC8C63}" name="East_x000a_(RIDDORs per 100,000 hours worked)" dataDxfId="23" dataCellStyle="-"/>
    <tableColumn id="7" xr3:uid="{1A56F2D1-92F2-4277-8351-2196DE850005}" name="South East_x000a_(RIDDORs per 100,000 hours worked) " dataDxfId="22" dataCellStyle="-"/>
    <tableColumn id="8" xr3:uid="{D8670B66-ABC9-4EC5-8DBF-5E4F380B8667}" name="South West_x000a_(RIDDORs per 100,000 hours worked) " dataDxfId="21" dataCellStyle="-"/>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8111DE2-0E8B-47A4-BC66-504DED2022C4}" name="Table_1j" displayName="Table_1j" ref="A3:H6" totalsRowShown="0" headerRowDxfId="20" dataDxfId="19">
  <autoFilter ref="A3:H6" xr:uid="{78111DE2-0E8B-47A4-BC66-504DED2022C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E419901-29DC-451B-8915-538B411EC63B}" name="Time period" dataDxfId="18"/>
    <tableColumn id="2" xr3:uid="{4EFBF732-F6D7-4165-8F0A-B900026EE4C3}" name="  National Highways   _x000a_(RIDDORs per 100,000 hours worked) " dataDxfId="17"/>
    <tableColumn id="3" xr3:uid="{C9F589B2-F3CB-474B-B88C-2853CE8F3433}" name="Yorkshire and North East_x000a_(RIDDORs per 100,000 hours worked)" dataDxfId="16"/>
    <tableColumn id="4" xr3:uid="{381D1A8C-A909-4100-85D5-4C890F405941}" name="North West_x000a_(RIDDORs per 100,000 hours worked)" dataDxfId="15"/>
    <tableColumn id="5" xr3:uid="{3856B146-AA6A-4BC2-93AB-DC5F7CB3167A}" name="Midlands_x000a_(RIDDORs per 100,000 hours worked)" dataDxfId="14"/>
    <tableColumn id="6" xr3:uid="{CB9CA463-99C3-4955-B4AA-81F3F35CDC3A}" name="East_x000a_(RIDDORs per 100,000 hours worked)" dataDxfId="13"/>
    <tableColumn id="7" xr3:uid="{50E6AF7F-9ACA-4C74-8E17-A8801124FB72}" name="South East_x000a_(RIDDORs per 100,000 hours worked) " dataDxfId="12"/>
    <tableColumn id="8" xr3:uid="{25E17522-B4A5-4A9D-BA64-FAD53783B8E3}" name="South West_x000a_(RIDDORs per 100,000 hours worked) " dataDxfId="1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0DA22E1-2A84-4705-9B23-EB46407EB008}" name="Table_1k" displayName="Table_1k" ref="A4:B7" totalsRowShown="0" headerRowDxfId="10" dataDxfId="9">
  <autoFilter ref="A4:B7" xr:uid="{C0DA22E1-2A84-4705-9B23-EB46407EB008}">
    <filterColumn colId="0" hiddenButton="1"/>
    <filterColumn colId="1" hiddenButton="1"/>
  </autoFilter>
  <tableColumns count="2">
    <tableColumn id="1" xr3:uid="{7BC62744-D7F1-414B-BD60-F0529BB006C6}" name="Time period" dataDxfId="8"/>
    <tableColumn id="2" xr3:uid="{54B32EF5-6DD5-4EBF-B1A5-D85FAB317EF9}" name="National Highways   _x000a_(Percentage) " dataDxfId="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11F3A82-A74D-476B-897E-9168289FB15B}" name="Data" displayName="Data" ref="C2:K63" totalsRowShown="0" headerRowDxfId="4" tableBorderDxfId="3">
  <autoFilter ref="C2:K63" xr:uid="{111F3A82-A74D-476B-897E-9168289FB15B}"/>
  <tableColumns count="9">
    <tableColumn id="1" xr3:uid="{DC9045F2-E23D-4334-A344-905568C296A5}" name="Year" dataDxfId="2">
      <calculatedColumnFormula>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calculatedColumnFormula>
    </tableColumn>
    <tableColumn id="2" xr3:uid="{718D9505-2644-475A-BB64-2B9AA583B6FE}" name="KPI" dataDxfId="1"/>
    <tableColumn id="3" xr3:uid="{A3BC18A6-9422-42E9-B76A-11C2C0DB04F1}" name="National Highways"/>
    <tableColumn id="4" xr3:uid="{FE50C436-252F-42FA-A36B-69D8E66F36E8}" name="Yorkshire and North East"/>
    <tableColumn id="5" xr3:uid="{EB06679C-EBFB-4949-8276-5ECBA7216A0D}" name="North West_x000a_"/>
    <tableColumn id="6" xr3:uid="{B46268BB-FCBD-4825-9E1E-03EC1ABA16E8}" name="Midlands_x000a_"/>
    <tableColumn id="7" xr3:uid="{98AB0630-DAA0-4A91-A048-5E5FC074EAA0}" name="East_x000a_"/>
    <tableColumn id="8" xr3:uid="{350CDBF7-EF03-4261-ADA5-97F059B0BF4E}" name="South East_x000a_"/>
    <tableColumn id="9" xr3:uid="{8B255311-3868-4AD5-AC45-B3222C6CAD23}"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5" totalsRowShown="0" dataDxfId="88">
  <autoFilter ref="A3:B15" xr:uid="{A2E2B00C-F437-45B3-8503-7AA9961C3F10}">
    <filterColumn colId="0" hiddenButton="1"/>
    <filterColumn colId="1" hiddenButton="1"/>
  </autoFilter>
  <tableColumns count="2">
    <tableColumn id="1" xr3:uid="{557ED635-1147-439E-8F74-0D2BBB4D3AF5}" name="Worksheet name" dataDxfId="87"/>
    <tableColumn id="2" xr3:uid="{7C0BBB98-1A7D-4386-9200-AB6B86FDDAAE}" name="Worksheet title" dataDxfId="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D6EFD30-59F8-4204-A07C-B5AEDEC7EA93}" name="Number_of_people_KSI_actual_adjusted" displayName="Number_of_people_KSI_actual_adjusted" ref="A6:B13" totalsRowShown="0" headerRowDxfId="85" dataDxfId="84">
  <autoFilter ref="A6:B13" xr:uid="{7D6EFD30-59F8-4204-A07C-B5AEDEC7EA93}">
    <filterColumn colId="0" hiddenButton="1"/>
    <filterColumn colId="1" hiddenButton="1"/>
  </autoFilter>
  <tableColumns count="2">
    <tableColumn id="1" xr3:uid="{869547C4-3B29-4322-A123-0E19DB5BA231}" name="Time period" dataDxfId="83"/>
    <tableColumn id="2" xr3:uid="{2A9C7BF4-8A84-4394-80F5-4B3BE99DEB3C}" name="National Highways_x000a_(Number) " dataDxfId="8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BA808F-505D-4887-B392-206ACEFD3EAC}" name="Table_1b" displayName="Table_1b" ref="A4:H11" totalsRowShown="0" headerRowDxfId="81" dataDxfId="80">
  <autoFilter ref="A4:H11" xr:uid="{7DBA808F-505D-4887-B392-206ACEFD3E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9328AC-3FD2-4046-B15F-02FA7A1F6B53}" name="Time period" dataDxfId="79"/>
    <tableColumn id="2" xr3:uid="{6356CEE0-176D-4FE3-B941-87AB94663A32}" name="National Highways_x000a_(Number) " dataDxfId="78" totalsRowDxfId="77"/>
    <tableColumn id="3" xr3:uid="{216FD097-E3C1-482B-815F-279CF7FB9694}" name="Yorkshire and North East_x000a_(Number) " dataDxfId="76" totalsRowDxfId="75"/>
    <tableColumn id="4" xr3:uid="{FEBE350E-D20A-4976-B087-D5F019609626}" name="North West_x000a_(Number) " dataDxfId="74" totalsRowDxfId="73"/>
    <tableColumn id="5" xr3:uid="{8C595176-0260-42EF-8FB3-E1CD2FCC200C}" name="Midlands_x000a_(Number) " dataDxfId="72" totalsRowDxfId="71"/>
    <tableColumn id="6" xr3:uid="{75C2844B-715B-47AA-B442-B88345D28A18}" name="East_x000a_(Number) " dataDxfId="70" totalsRowDxfId="69"/>
    <tableColumn id="7" xr3:uid="{EBC9FF83-1FAC-4734-8528-95BC31F4866B}" name="South East_x000a_(Number) " dataDxfId="68" totalsRowDxfId="67"/>
    <tableColumn id="8" xr3:uid="{C8546E4D-0CCD-4EBF-BBE1-C3B8DD2ACFCA}" name="South West_x000a_(Number) " dataDxfId="66" totalsRowDxfId="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8EF3C6-8A22-4E9C-9F2E-B2A712A425B9}" name="Table_1c" displayName="Table_1c" ref="A4:H11" totalsRowShown="0" headerRowDxfId="64" dataDxfId="63">
  <autoFilter ref="A4:H11" xr:uid="{338EF3C6-8A22-4E9C-9F2E-B2A712A425B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4BE9D4E-CBE4-4E80-AA58-CB0A7621375F}" name="Time period" dataDxfId="62"/>
    <tableColumn id="2" xr3:uid="{A688306C-F82F-4F76-B276-74AB16BCFADA}" name="National Highways_x000a_(Number) " dataDxfId="61"/>
    <tableColumn id="3" xr3:uid="{0B55F803-8365-4681-8E76-06841FF12383}" name="Yorkshire and North East_x000a_(Number) " dataDxfId="60"/>
    <tableColumn id="4" xr3:uid="{6DA591C9-5F07-41FC-9600-773E3C23F126}" name="North West_x000a_(Number) " dataDxfId="59"/>
    <tableColumn id="5" xr3:uid="{84908AE7-798F-44EB-8A13-CA9862A9FC29}" name="Midlands_x000a_(Number) " dataDxfId="58"/>
    <tableColumn id="6" xr3:uid="{851CA5FA-274A-4AD6-BE77-AAD1746910DD}" name="East_x000a_(Number) " dataDxfId="57"/>
    <tableColumn id="7" xr3:uid="{06F632CE-E35A-4F8A-AB3F-646E8356C1F1}" name="South East_x000a_(Number) " dataDxfId="56"/>
    <tableColumn id="8" xr3:uid="{8A7D94D3-3BE4-448F-9609-737709CE08FA}" name="South West_x000a_(Number) " dataDxfId="5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FC0CEF-E4F4-4BEB-BE31-70715FF80A31}" name="Table_1d" displayName="Table_1d" ref="A4:B11" totalsRowShown="0" headerRowDxfId="54" dataDxfId="53">
  <autoFilter ref="A4:B11" xr:uid="{28FC0CEF-E4F4-4BEB-BE31-70715FF80A31}">
    <filterColumn colId="0" hiddenButton="1"/>
    <filterColumn colId="1" hiddenButton="1"/>
  </autoFilter>
  <tableColumns count="2">
    <tableColumn id="1" xr3:uid="{7CB385B7-F38B-4A8D-BCA7-B7FFCC54955B}" name="Time period" dataDxfId="52"/>
    <tableColumn id="2" xr3:uid="{06542C2B-2C12-4C79-8260-95DB3387E91D}" name="National Highways_x000a_(Number) " dataDxfId="5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9133708-3A4F-4D08-8537-891FFF08AC6E}" name="Table_1e" displayName="Table_1e" ref="A4:B11" totalsRowShown="0" headerRowDxfId="50" dataDxfId="49">
  <autoFilter ref="A4:B11" xr:uid="{69133708-3A4F-4D08-8537-891FFF08AC6E}">
    <filterColumn colId="0" hiddenButton="1"/>
    <filterColumn colId="1" hiddenButton="1"/>
  </autoFilter>
  <tableColumns count="2">
    <tableColumn id="1" xr3:uid="{09A9858B-095B-4B0C-B287-9E5F3ACD5DCC}" name="Time period" dataDxfId="48"/>
    <tableColumn id="2" xr3:uid="{F3893DD5-F27A-4C14-A029-9CBF480DFAD7}" name="National Highways_x000a_(Number) " dataDxfId="4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B014C83-6033-4742-B389-22C12C8551DE}" name="Table_1f" displayName="Table_1f" ref="A4:B11" totalsRowShown="0" headerRowDxfId="46" dataDxfId="45">
  <autoFilter ref="A4:B11" xr:uid="{FB014C83-6033-4742-B389-22C12C8551DE}">
    <filterColumn colId="0" hiddenButton="1"/>
    <filterColumn colId="1" hiddenButton="1"/>
  </autoFilter>
  <tableColumns count="2">
    <tableColumn id="1" xr3:uid="{94BAF97C-A565-4ECD-B872-F6DC57A72B4B}" name="Time period" dataDxfId="44"/>
    <tableColumn id="2" xr3:uid="{FBF7A30D-CAD4-4886-8F8B-FF17E2BA72F2}" name="National Highways_x000a_(Number) " dataDxfId="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F393257-F293-4496-8DC1-CE8A9AA23753}" name="Table_1g" displayName="Table_1g" ref="A4:B11" totalsRowShown="0" headerRowDxfId="42" dataDxfId="41">
  <autoFilter ref="A4:B11" xr:uid="{8F393257-F293-4496-8DC1-CE8A9AA23753}">
    <filterColumn colId="0" hiddenButton="1"/>
    <filterColumn colId="1" hiddenButton="1"/>
  </autoFilter>
  <tableColumns count="2">
    <tableColumn id="1" xr3:uid="{D23855A0-8C07-4498-9AA3-33EA17160EB4}" name="Time period" dataDxfId="40"/>
    <tableColumn id="2" xr3:uid="{2ED47842-BACC-4CDC-8E6E-7A6299686073}" name="National Highways_x000a_(Number) " dataDxfId="3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5paempnz/ris2-omm-published-18-july-2023-final.pdf" TargetMode="External"/><Relationship Id="rId3" Type="http://schemas.openxmlformats.org/officeDocument/2006/relationships/hyperlink" Target="https://view.officeapps.live.com/op/view.aspx?src=https%3A%2F%2Fnationalhighways.co.uk%2Fmedia%2Fj5fhxb2h%2F2020-21-performance-monitoring-statements.xlsx&amp;wdOrigin=BROWSELINK" TargetMode="External"/><Relationship Id="rId7" Type="http://schemas.openxmlformats.org/officeDocument/2006/relationships/hyperlink" Target="https://view.officeapps.live.com/op/view.aspx?src=https%3A%2F%2Fnationalhighways.co.uk%2Fmedia%2Fenwfaxpy%2F2021-22-performance-monitoring-statements.xlsx&amp;wdOrigin=BROWSELINK" TargetMode="External"/><Relationship Id="rId2" Type="http://schemas.openxmlformats.org/officeDocument/2006/relationships/hyperlink" Target="https://nationalhighways.co.uk/media/qe1cjb2b/lee21_0022_network_management-03-03-2021_nh_v5-copy.pdf"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11" Type="http://schemas.openxmlformats.org/officeDocument/2006/relationships/printerSettings" Target="../printerSettings/printerSettings1.bin"/><Relationship Id="rId5"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10" Type="http://schemas.openxmlformats.org/officeDocument/2006/relationships/hyperlink" Target="https://nationalhighways.co.uk/media/dnen52ja/abr-v5-171023.pdf" TargetMode="External"/><Relationship Id="rId4" Type="http://schemas.openxmlformats.org/officeDocument/2006/relationships/hyperlink" Target="https://view.officeapps.live.com/op/view.aspx?src=https%3A%2F%2Fnationalhighways.co.uk%2Fmedia%2Fwmgjlzbl%2Fperformance-monitoring-statements-2019-20.xlsm&amp;wdOrigin=BROWSELINK" TargetMode="External"/><Relationship Id="rId9" Type="http://schemas.openxmlformats.org/officeDocument/2006/relationships/hyperlink" Target="https://view.officeapps.live.com/op/view.aspx?src=https%3A%2F%2Fnationalhighways.co.uk%2Fmedia%2Fvqspujiz%2F2022-23-performance-monitoring-statements.xlsx&amp;wdOrigin=BROWSELIN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5"/>
  <sheetViews>
    <sheetView workbookViewId="0"/>
  </sheetViews>
  <sheetFormatPr defaultColWidth="9" defaultRowHeight="15.75"/>
  <cols>
    <col min="1" max="1" width="207" style="2" customWidth="1"/>
    <col min="2" max="2" width="9" style="2" customWidth="1"/>
    <col min="3" max="3" width="10.5703125" style="2" bestFit="1" customWidth="1"/>
    <col min="4" max="16384" width="9" style="2"/>
  </cols>
  <sheetData>
    <row r="1" spans="1:1" customFormat="1" ht="30" customHeight="1">
      <c r="A1" s="23" t="s">
        <v>0</v>
      </c>
    </row>
    <row r="2" spans="1:1" customFormat="1" ht="267.75">
      <c r="A2" s="17" t="s">
        <v>1</v>
      </c>
    </row>
    <row r="3" spans="1:1" customFormat="1" ht="179.25" customHeight="1">
      <c r="A3" s="17" t="s">
        <v>2</v>
      </c>
    </row>
    <row r="4" spans="1:1" customFormat="1" ht="50.25" customHeight="1">
      <c r="A4" s="17" t="s">
        <v>3</v>
      </c>
    </row>
    <row r="5" spans="1:1" customFormat="1">
      <c r="A5" s="35" t="s">
        <v>4</v>
      </c>
    </row>
    <row r="6" spans="1:1" customFormat="1" ht="31.5">
      <c r="A6" s="17" t="s">
        <v>5</v>
      </c>
    </row>
    <row r="7" spans="1:1" customFormat="1">
      <c r="A7" s="17" t="s">
        <v>6</v>
      </c>
    </row>
    <row r="8" spans="1:1" customFormat="1">
      <c r="A8" s="26" t="s">
        <v>7</v>
      </c>
    </row>
    <row r="9" spans="1:1" customFormat="1" ht="18.75">
      <c r="A9" s="30" t="s">
        <v>8</v>
      </c>
    </row>
    <row r="10" spans="1:1" customFormat="1">
      <c r="A10" s="17" t="s">
        <v>9</v>
      </c>
    </row>
    <row r="11" spans="1:1" customFormat="1">
      <c r="A11" s="17" t="s">
        <v>10</v>
      </c>
    </row>
    <row r="12" spans="1:1" customFormat="1" ht="31.5">
      <c r="A12" s="17" t="s">
        <v>11</v>
      </c>
    </row>
    <row r="13" spans="1:1" customFormat="1" ht="18.75">
      <c r="A13" s="30" t="s">
        <v>12</v>
      </c>
    </row>
    <row r="14" spans="1:1" customFormat="1">
      <c r="A14" s="17" t="s">
        <v>13</v>
      </c>
    </row>
    <row r="15" spans="1:1" customFormat="1">
      <c r="A15" s="142" t="s">
        <v>14</v>
      </c>
    </row>
    <row r="16" spans="1:1" customFormat="1">
      <c r="A16" s="35" t="s">
        <v>15</v>
      </c>
    </row>
    <row r="17" spans="1:1" customFormat="1">
      <c r="A17" s="27" t="s">
        <v>16</v>
      </c>
    </row>
    <row r="18" spans="1:1" customFormat="1">
      <c r="A18" s="26" t="s">
        <v>17</v>
      </c>
    </row>
    <row r="19" spans="1:1" customFormat="1">
      <c r="A19" s="17" t="s">
        <v>18</v>
      </c>
    </row>
    <row r="20" spans="1:1" customFormat="1">
      <c r="A20" s="35" t="s">
        <v>19</v>
      </c>
    </row>
    <row r="21" spans="1:1" customFormat="1">
      <c r="A21" s="35" t="s">
        <v>20</v>
      </c>
    </row>
    <row r="22" spans="1:1" customFormat="1">
      <c r="A22" s="26" t="s">
        <v>21</v>
      </c>
    </row>
    <row r="23" spans="1:1" customFormat="1" ht="18.75">
      <c r="A23" s="31" t="s">
        <v>22</v>
      </c>
    </row>
    <row r="24" spans="1:1" customFormat="1">
      <c r="A24" s="28" t="s">
        <v>23</v>
      </c>
    </row>
    <row r="25" spans="1:1" customFormat="1" ht="18.75">
      <c r="A25" s="32" t="s">
        <v>24</v>
      </c>
    </row>
    <row r="26" spans="1:1" customFormat="1">
      <c r="A26" s="28" t="s">
        <v>25</v>
      </c>
    </row>
    <row r="27" spans="1:1" customFormat="1" ht="18.75">
      <c r="A27" s="32" t="s">
        <v>26</v>
      </c>
    </row>
    <row r="28" spans="1:1" customFormat="1">
      <c r="A28" s="28" t="s">
        <v>27</v>
      </c>
    </row>
    <row r="29" spans="1:1" customFormat="1" ht="18.75">
      <c r="A29" s="33" t="s">
        <v>28</v>
      </c>
    </row>
    <row r="30" spans="1:1">
      <c r="A30" s="1" t="s">
        <v>29</v>
      </c>
    </row>
    <row r="31" spans="1:1">
      <c r="A31" s="1" t="s">
        <v>30</v>
      </c>
    </row>
    <row r="32" spans="1:1" ht="18.75">
      <c r="A32" s="34" t="s">
        <v>31</v>
      </c>
    </row>
    <row r="33" spans="1:1">
      <c r="A33" s="29" t="s">
        <v>32</v>
      </c>
    </row>
    <row r="34" spans="1:1">
      <c r="A34" s="1" t="s">
        <v>33</v>
      </c>
    </row>
    <row r="35" spans="1:1">
      <c r="A35" s="2" t="s">
        <v>34</v>
      </c>
    </row>
  </sheetData>
  <hyperlinks>
    <hyperlink ref="A33" r:id="rId1" xr:uid="{0BB22A10-9B32-45F4-A0D6-C26BA427E3E4}"/>
    <hyperlink ref="A5" r:id="rId2" xr:uid="{1DA2255F-9AC3-4799-968F-41DFC1E31682}"/>
    <hyperlink ref="A17" r:id="rId3" xr:uid="{8E560370-BEEE-4A31-A145-868FDF110304}"/>
    <hyperlink ref="A18" r:id="rId4" xr:uid="{AAB4A924-3F1D-4C19-824D-BD89E44EE48C}"/>
    <hyperlink ref="A22" r:id="rId5" xr:uid="{6D58F600-C6AA-4315-B88D-CE432AEE1347}"/>
    <hyperlink ref="A21" r:id="rId6" xr:uid="{15CD20C7-2BAA-44DC-9837-3ED40CDC4161}"/>
    <hyperlink ref="A16" r:id="rId7" xr:uid="{6D5C8CC6-3A06-4292-A393-6227B6EB85BA}"/>
    <hyperlink ref="A8" r:id="rId8" xr:uid="{61F23B19-F314-4063-8CE2-B567862CE6DA}"/>
    <hyperlink ref="A15" r:id="rId9" xr:uid="{758DBB38-05EF-4AF5-90AE-581E14579B19}"/>
    <hyperlink ref="A20" r:id="rId10" xr:uid="{FDB97052-1A6E-46C9-9E72-E19A1EDB3036}"/>
  </hyperlinks>
  <pageMargins left="0.70000000000000007" right="0.70000000000000007" top="0.75" bottom="0.75" header="0.30000000000000004" footer="0.30000000000000004"/>
  <pageSetup paperSize="9" fitToWidth="0" fitToHeight="0" orientation="portrait"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C50F-26BC-4E8A-AEAE-E73F9869693C}">
  <sheetPr codeName="Sheet9">
    <tabColor rgb="FF253268"/>
  </sheetPr>
  <dimension ref="A1:B11"/>
  <sheetViews>
    <sheetView workbookViewId="0"/>
  </sheetViews>
  <sheetFormatPr defaultRowHeight="15"/>
  <cols>
    <col min="1" max="1" width="50.5703125" customWidth="1"/>
    <col min="2" max="2" width="20.5703125" customWidth="1"/>
    <col min="3" max="8" width="16.5703125" customWidth="1"/>
  </cols>
  <sheetData>
    <row r="1" spans="1:2" ht="30" customHeight="1">
      <c r="A1" s="117" t="s">
        <v>111</v>
      </c>
      <c r="B1" s="7"/>
    </row>
    <row r="2" spans="1:2" ht="19.899999999999999" customHeight="1">
      <c r="A2" s="24" t="s">
        <v>54</v>
      </c>
      <c r="B2" s="7"/>
    </row>
    <row r="3" spans="1:2" ht="20.100000000000001" customHeight="1">
      <c r="A3" s="52" t="s">
        <v>87</v>
      </c>
      <c r="B3" s="14"/>
    </row>
    <row r="4" spans="1:2" ht="50.25" customHeight="1">
      <c r="A4" s="4" t="s">
        <v>90</v>
      </c>
      <c r="B4" s="12" t="s">
        <v>91</v>
      </c>
    </row>
    <row r="5" spans="1:2" ht="20.100000000000001" customHeight="1">
      <c r="A5" s="36" t="s">
        <v>92</v>
      </c>
      <c r="B5" s="43">
        <v>158</v>
      </c>
    </row>
    <row r="6" spans="1:2" ht="20.100000000000001" customHeight="1">
      <c r="A6" s="36" t="s">
        <v>93</v>
      </c>
      <c r="B6" s="43">
        <v>154</v>
      </c>
    </row>
    <row r="7" spans="1:2" ht="20.100000000000001" customHeight="1">
      <c r="A7" s="36" t="s">
        <v>94</v>
      </c>
      <c r="B7" s="43">
        <v>153</v>
      </c>
    </row>
    <row r="8" spans="1:2" ht="20.100000000000001" customHeight="1">
      <c r="A8" s="36" t="s">
        <v>95</v>
      </c>
      <c r="B8" s="43">
        <v>148</v>
      </c>
    </row>
    <row r="9" spans="1:2" ht="20.100000000000001" customHeight="1" thickBot="1">
      <c r="A9" s="37" t="s">
        <v>96</v>
      </c>
      <c r="B9" s="44">
        <v>156</v>
      </c>
    </row>
    <row r="10" spans="1:2" ht="20.100000000000001" customHeight="1" thickTop="1">
      <c r="A10" s="36" t="s">
        <v>97</v>
      </c>
      <c r="B10" s="42">
        <v>102</v>
      </c>
    </row>
    <row r="11" spans="1:2" ht="20.45" customHeight="1">
      <c r="A11" s="36" t="s">
        <v>107</v>
      </c>
      <c r="B11" s="43">
        <v>143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1A7B-0DD6-4AD1-A64A-D558E3F9B2CE}">
  <sheetPr codeName="Sheet10">
    <tabColor rgb="FF253268"/>
  </sheetPr>
  <dimension ref="A1:B11"/>
  <sheetViews>
    <sheetView workbookViewId="0"/>
  </sheetViews>
  <sheetFormatPr defaultRowHeight="15"/>
  <cols>
    <col min="1" max="1" width="50.5703125" customWidth="1"/>
    <col min="2" max="2" width="20.5703125" customWidth="1"/>
    <col min="3" max="8" width="16.5703125" customWidth="1"/>
  </cols>
  <sheetData>
    <row r="1" spans="1:2" ht="30" customHeight="1">
      <c r="A1" s="117" t="s">
        <v>112</v>
      </c>
      <c r="B1" s="7"/>
    </row>
    <row r="2" spans="1:2" ht="20.100000000000001" customHeight="1">
      <c r="A2" s="24" t="s">
        <v>54</v>
      </c>
      <c r="B2" s="7"/>
    </row>
    <row r="3" spans="1:2" ht="20.100000000000001" customHeight="1">
      <c r="A3" s="52" t="s">
        <v>87</v>
      </c>
      <c r="B3" s="14"/>
    </row>
    <row r="4" spans="1:2" ht="50.25" customHeight="1">
      <c r="A4" s="4" t="s">
        <v>90</v>
      </c>
      <c r="B4" s="12" t="s">
        <v>91</v>
      </c>
    </row>
    <row r="5" spans="1:2" ht="20.100000000000001" customHeight="1">
      <c r="A5" s="36" t="s">
        <v>92</v>
      </c>
      <c r="B5" s="43">
        <v>0</v>
      </c>
    </row>
    <row r="6" spans="1:2" ht="20.100000000000001" customHeight="1">
      <c r="A6" s="36" t="s">
        <v>93</v>
      </c>
      <c r="B6" s="43">
        <v>0</v>
      </c>
    </row>
    <row r="7" spans="1:2" ht="20.100000000000001" customHeight="1">
      <c r="A7" s="36" t="s">
        <v>94</v>
      </c>
      <c r="B7" s="43">
        <v>0</v>
      </c>
    </row>
    <row r="8" spans="1:2" ht="20.100000000000001" customHeight="1">
      <c r="A8" s="36" t="s">
        <v>95</v>
      </c>
      <c r="B8" s="43">
        <v>0</v>
      </c>
    </row>
    <row r="9" spans="1:2" ht="20.100000000000001" customHeight="1" thickBot="1">
      <c r="A9" s="37" t="s">
        <v>96</v>
      </c>
      <c r="B9" s="44">
        <v>0</v>
      </c>
    </row>
    <row r="10" spans="1:2" ht="19.899999999999999" customHeight="1" thickTop="1">
      <c r="A10" s="36" t="s">
        <v>113</v>
      </c>
      <c r="B10" s="42">
        <v>0</v>
      </c>
    </row>
    <row r="11" spans="1:2" ht="20.45" customHeight="1">
      <c r="A11" s="36" t="s">
        <v>114</v>
      </c>
      <c r="B11" s="43">
        <v>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34B8-B2B1-4AED-A0D0-623280BA6FAF}">
  <sheetPr codeName="Sheet11">
    <tabColor rgb="FF253268"/>
  </sheetPr>
  <dimension ref="A1:H6"/>
  <sheetViews>
    <sheetView workbookViewId="0"/>
  </sheetViews>
  <sheetFormatPr defaultRowHeight="15"/>
  <cols>
    <col min="1" max="1" width="50.5703125" customWidth="1"/>
    <col min="2" max="2" width="20.5703125" customWidth="1"/>
    <col min="3" max="8" width="16.5703125" customWidth="1"/>
  </cols>
  <sheetData>
    <row r="1" spans="1:8" ht="30" customHeight="1">
      <c r="A1" s="117" t="s">
        <v>115</v>
      </c>
      <c r="B1" s="7"/>
      <c r="C1" s="7"/>
      <c r="D1" s="7"/>
      <c r="E1" s="7"/>
      <c r="F1" s="7"/>
      <c r="G1" s="7"/>
      <c r="H1" s="7"/>
    </row>
    <row r="2" spans="1:8" ht="20.100000000000001" customHeight="1">
      <c r="A2" s="24" t="s">
        <v>54</v>
      </c>
      <c r="B2" s="7"/>
      <c r="C2" s="7"/>
      <c r="D2" s="7"/>
      <c r="E2" s="7"/>
      <c r="F2" s="7"/>
      <c r="G2" s="7"/>
      <c r="H2" s="7"/>
    </row>
    <row r="3" spans="1:8" s="12" customFormat="1" ht="50.25" customHeight="1">
      <c r="A3" s="4" t="s">
        <v>90</v>
      </c>
      <c r="B3" s="53" t="s">
        <v>91</v>
      </c>
      <c r="C3" s="12" t="s">
        <v>100</v>
      </c>
      <c r="D3" s="12" t="s">
        <v>101</v>
      </c>
      <c r="E3" s="12" t="s">
        <v>102</v>
      </c>
      <c r="F3" s="12" t="s">
        <v>103</v>
      </c>
      <c r="G3" s="12" t="s">
        <v>104</v>
      </c>
      <c r="H3" s="12" t="s">
        <v>105</v>
      </c>
    </row>
    <row r="4" spans="1:8" s="12" customFormat="1" ht="20.100000000000001" customHeight="1" thickBot="1">
      <c r="A4" s="45" t="s">
        <v>96</v>
      </c>
      <c r="B4" s="130">
        <v>7905</v>
      </c>
      <c r="C4" s="131">
        <v>1026</v>
      </c>
      <c r="D4" s="132">
        <v>935</v>
      </c>
      <c r="E4" s="132">
        <v>1312</v>
      </c>
      <c r="F4" s="132">
        <v>1259</v>
      </c>
      <c r="G4" s="132">
        <v>2591</v>
      </c>
      <c r="H4" s="132">
        <v>782</v>
      </c>
    </row>
    <row r="5" spans="1:8" s="4" customFormat="1" ht="20.100000000000001" customHeight="1" thickTop="1">
      <c r="A5" s="4" t="s">
        <v>97</v>
      </c>
      <c r="B5" s="121">
        <v>5267</v>
      </c>
      <c r="C5" s="122">
        <v>636</v>
      </c>
      <c r="D5" s="122">
        <v>605</v>
      </c>
      <c r="E5" s="122">
        <v>910</v>
      </c>
      <c r="F5" s="122">
        <v>833</v>
      </c>
      <c r="G5" s="122">
        <v>1765</v>
      </c>
      <c r="H5" s="122">
        <v>518</v>
      </c>
    </row>
    <row r="6" spans="1:8" ht="20.45" customHeight="1">
      <c r="A6" s="4" t="s">
        <v>107</v>
      </c>
      <c r="B6" s="121">
        <v>6539</v>
      </c>
      <c r="C6" s="139">
        <v>849</v>
      </c>
      <c r="D6" s="140">
        <v>798</v>
      </c>
      <c r="E6" s="140">
        <v>1237</v>
      </c>
      <c r="F6" s="140">
        <v>940</v>
      </c>
      <c r="G6" s="140">
        <v>2043</v>
      </c>
      <c r="H6" s="140">
        <v>672</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8DB0-8520-4C75-811F-654A6A4F2CB8}">
  <sheetPr codeName="Sheet12">
    <tabColor rgb="FF253268"/>
  </sheetPr>
  <dimension ref="A1:H6"/>
  <sheetViews>
    <sheetView workbookViewId="0"/>
  </sheetViews>
  <sheetFormatPr defaultRowHeight="15"/>
  <cols>
    <col min="1" max="1" width="50.5703125" customWidth="1"/>
    <col min="2" max="8" width="25.5703125" customWidth="1"/>
  </cols>
  <sheetData>
    <row r="1" spans="1:8" ht="30" customHeight="1">
      <c r="A1" s="117" t="s">
        <v>116</v>
      </c>
      <c r="B1" s="7"/>
      <c r="C1" s="7"/>
      <c r="D1" s="7"/>
      <c r="E1" s="7"/>
      <c r="F1" s="7"/>
      <c r="G1" s="7"/>
      <c r="H1" s="7"/>
    </row>
    <row r="2" spans="1:8" ht="20.100000000000001" customHeight="1">
      <c r="A2" s="24" t="s">
        <v>54</v>
      </c>
      <c r="B2" s="7"/>
      <c r="C2" s="7"/>
      <c r="D2" s="7"/>
      <c r="E2" s="7"/>
      <c r="F2" s="7"/>
      <c r="G2" s="7"/>
      <c r="H2" s="7"/>
    </row>
    <row r="3" spans="1:8" s="11" customFormat="1" ht="50.1" customHeight="1">
      <c r="A3" s="4" t="s">
        <v>90</v>
      </c>
      <c r="B3" s="53" t="s">
        <v>117</v>
      </c>
      <c r="C3" s="12" t="s">
        <v>118</v>
      </c>
      <c r="D3" s="12" t="s">
        <v>119</v>
      </c>
      <c r="E3" s="12" t="s">
        <v>120</v>
      </c>
      <c r="F3" s="12" t="s">
        <v>121</v>
      </c>
      <c r="G3" s="12" t="s">
        <v>122</v>
      </c>
      <c r="H3" s="12" t="s">
        <v>123</v>
      </c>
    </row>
    <row r="4" spans="1:8" s="11" customFormat="1" ht="20.45" customHeight="1">
      <c r="A4" s="4" t="s">
        <v>124</v>
      </c>
      <c r="B4" s="57">
        <v>0.05</v>
      </c>
      <c r="C4" s="110">
        <v>0.06</v>
      </c>
      <c r="D4" s="110">
        <v>0</v>
      </c>
      <c r="E4" s="110">
        <v>0.05</v>
      </c>
      <c r="F4" s="110">
        <v>0.11</v>
      </c>
      <c r="G4" s="110">
        <v>0.06</v>
      </c>
      <c r="H4" s="110">
        <v>0</v>
      </c>
    </row>
    <row r="5" spans="1:8" s="11" customFormat="1" ht="20.45" customHeight="1">
      <c r="A5" s="4" t="s">
        <v>125</v>
      </c>
      <c r="B5" s="57">
        <v>0.05</v>
      </c>
      <c r="C5" s="110">
        <v>0.06</v>
      </c>
      <c r="D5" s="110">
        <v>0.14000000000000001</v>
      </c>
      <c r="E5" s="110">
        <v>0.13</v>
      </c>
      <c r="F5" s="110">
        <v>0</v>
      </c>
      <c r="G5" s="110">
        <v>0.05</v>
      </c>
      <c r="H5" s="110">
        <v>0.06</v>
      </c>
    </row>
    <row r="6" spans="1:8" ht="20.45" customHeight="1">
      <c r="A6" s="4" t="s">
        <v>126</v>
      </c>
      <c r="B6" s="57">
        <v>0.03</v>
      </c>
      <c r="C6" s="110">
        <v>0.1</v>
      </c>
      <c r="D6" s="110">
        <v>0</v>
      </c>
      <c r="E6" s="110">
        <v>0.02</v>
      </c>
      <c r="F6" s="110">
        <v>0</v>
      </c>
      <c r="G6" s="110">
        <v>0</v>
      </c>
      <c r="H6" s="110">
        <v>0.06</v>
      </c>
    </row>
  </sheetData>
  <phoneticPr fontId="168"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253C-3453-401C-91DB-F3AEAD862137}">
  <sheetPr codeName="Sheet13">
    <tabColor rgb="FF253268"/>
  </sheetPr>
  <dimension ref="A1:H17"/>
  <sheetViews>
    <sheetView workbookViewId="0"/>
  </sheetViews>
  <sheetFormatPr defaultRowHeight="15"/>
  <cols>
    <col min="1" max="1" width="50.5703125" customWidth="1"/>
    <col min="2" max="8" width="25.5703125" customWidth="1"/>
  </cols>
  <sheetData>
    <row r="1" spans="1:8" ht="30" customHeight="1">
      <c r="A1" s="117" t="s">
        <v>127</v>
      </c>
      <c r="B1" s="7"/>
      <c r="C1" s="7"/>
      <c r="D1" s="7"/>
      <c r="E1" s="7"/>
      <c r="F1" s="7"/>
      <c r="G1" s="7"/>
      <c r="H1" s="7"/>
    </row>
    <row r="2" spans="1:8" ht="20.100000000000001" customHeight="1">
      <c r="A2" s="3" t="s">
        <v>54</v>
      </c>
      <c r="B2" s="7"/>
      <c r="C2" s="7"/>
      <c r="D2" s="7"/>
      <c r="E2" s="7"/>
      <c r="F2" s="7"/>
      <c r="G2" s="7"/>
      <c r="H2" s="7"/>
    </row>
    <row r="3" spans="1:8" s="12" customFormat="1" ht="50.25" customHeight="1">
      <c r="A3" s="4" t="s">
        <v>90</v>
      </c>
      <c r="B3" s="53" t="s">
        <v>117</v>
      </c>
      <c r="C3" s="12" t="s">
        <v>118</v>
      </c>
      <c r="D3" s="12" t="s">
        <v>119</v>
      </c>
      <c r="E3" s="12" t="s">
        <v>120</v>
      </c>
      <c r="F3" s="12" t="s">
        <v>121</v>
      </c>
      <c r="G3" s="12" t="s">
        <v>122</v>
      </c>
      <c r="H3" s="12" t="s">
        <v>123</v>
      </c>
    </row>
    <row r="4" spans="1:8" s="4" customFormat="1" ht="20.25" customHeight="1">
      <c r="A4" s="4" t="s">
        <v>124</v>
      </c>
      <c r="B4" s="57">
        <v>0.05</v>
      </c>
      <c r="C4" s="40">
        <v>0</v>
      </c>
      <c r="D4" s="40">
        <v>7.0000000000000007E-2</v>
      </c>
      <c r="E4" s="40">
        <v>0.03</v>
      </c>
      <c r="F4" s="40">
        <v>0</v>
      </c>
      <c r="G4" s="40">
        <v>7.0000000000000007E-2</v>
      </c>
      <c r="H4" s="40">
        <v>0.14000000000000001</v>
      </c>
    </row>
    <row r="5" spans="1:8" s="4" customFormat="1" ht="20.25" customHeight="1">
      <c r="A5" s="4" t="s">
        <v>125</v>
      </c>
      <c r="B5" s="58">
        <v>7.0000000000000007E-2</v>
      </c>
      <c r="C5" s="40">
        <v>0.05</v>
      </c>
      <c r="D5" s="40">
        <v>0.14000000000000001</v>
      </c>
      <c r="E5" s="40">
        <v>0.03</v>
      </c>
      <c r="F5" s="40">
        <v>0.08</v>
      </c>
      <c r="G5" s="40">
        <v>0.05</v>
      </c>
      <c r="H5" s="40">
        <v>0.11</v>
      </c>
    </row>
    <row r="6" spans="1:8" ht="20.45" customHeight="1">
      <c r="A6" s="4" t="s">
        <v>126</v>
      </c>
      <c r="B6" s="57">
        <v>0.08</v>
      </c>
      <c r="C6" s="40">
        <v>0.09</v>
      </c>
      <c r="D6" s="40">
        <v>0.05</v>
      </c>
      <c r="E6" s="40">
        <v>0.08</v>
      </c>
      <c r="F6" s="40">
        <v>0.08</v>
      </c>
      <c r="G6" s="40">
        <v>0.12</v>
      </c>
      <c r="H6" s="40">
        <v>0.03</v>
      </c>
    </row>
    <row r="12" spans="1:8" ht="15.75">
      <c r="C12" s="40"/>
    </row>
    <row r="13" spans="1:8" ht="15.75">
      <c r="C13" s="40"/>
    </row>
    <row r="14" spans="1:8" ht="15.75">
      <c r="C14" s="40"/>
    </row>
    <row r="15" spans="1:8" ht="15.75">
      <c r="C15" s="40"/>
    </row>
    <row r="16" spans="1:8" ht="15.75">
      <c r="C16" s="40"/>
    </row>
    <row r="17" spans="3:3" ht="15.75">
      <c r="C17" s="40"/>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E7FF-ED4D-47BB-B357-AE60F4891C00}">
  <sheetPr codeName="Sheet14">
    <tabColor rgb="FF253268"/>
  </sheetPr>
  <dimension ref="A1:B7"/>
  <sheetViews>
    <sheetView workbookViewId="0"/>
  </sheetViews>
  <sheetFormatPr defaultRowHeight="15"/>
  <cols>
    <col min="1" max="1" width="50.5703125" customWidth="1"/>
    <col min="2" max="2" width="20.5703125" customWidth="1"/>
    <col min="3" max="8" width="16.5703125" customWidth="1"/>
  </cols>
  <sheetData>
    <row r="1" spans="1:2" ht="30" customHeight="1">
      <c r="A1" s="117" t="s">
        <v>128</v>
      </c>
      <c r="B1" s="7"/>
    </row>
    <row r="2" spans="1:2" ht="20.100000000000001" customHeight="1">
      <c r="A2" s="3" t="s">
        <v>54</v>
      </c>
      <c r="B2" s="7"/>
    </row>
    <row r="3" spans="1:2" ht="20.100000000000001" customHeight="1">
      <c r="A3" s="3" t="s">
        <v>129</v>
      </c>
      <c r="B3" s="7"/>
    </row>
    <row r="4" spans="1:2" ht="50.1" customHeight="1">
      <c r="A4" s="4" t="s">
        <v>90</v>
      </c>
      <c r="B4" s="12" t="s">
        <v>130</v>
      </c>
    </row>
    <row r="5" spans="1:2" ht="20.100000000000001" customHeight="1">
      <c r="A5" s="4" t="s">
        <v>131</v>
      </c>
      <c r="B5" s="40" t="s">
        <v>106</v>
      </c>
    </row>
    <row r="6" spans="1:2" ht="20.100000000000001" customHeight="1">
      <c r="A6" s="4" t="s">
        <v>125</v>
      </c>
      <c r="B6" s="122">
        <v>89</v>
      </c>
    </row>
    <row r="7" spans="1:2" ht="20.45" customHeight="1">
      <c r="A7" s="4" t="s">
        <v>126</v>
      </c>
      <c r="B7" s="40">
        <v>89</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C443-6545-47EE-AB66-6EDAD9FCE4EF}">
  <sheetPr codeName="Sheet17">
    <tabColor rgb="FFFFC000"/>
  </sheetPr>
  <dimension ref="A4:U85"/>
  <sheetViews>
    <sheetView topLeftCell="A38" workbookViewId="0">
      <selection activeCell="B65" sqref="B65"/>
    </sheetView>
  </sheetViews>
  <sheetFormatPr defaultRowHeight="15"/>
  <cols>
    <col min="1" max="1" width="7.28515625" bestFit="1" customWidth="1"/>
    <col min="2" max="2" width="51.85546875" bestFit="1" customWidth="1"/>
    <col min="3" max="3" width="12.85546875" bestFit="1" customWidth="1"/>
    <col min="4" max="4" width="10.85546875" bestFit="1" customWidth="1"/>
    <col min="5" max="5" width="6.140625" bestFit="1" customWidth="1"/>
    <col min="6" max="6" width="11.7109375" bestFit="1" customWidth="1"/>
    <col min="7" max="7" width="7.28515625" bestFit="1" customWidth="1"/>
    <col min="8" max="8" width="12.85546875" bestFit="1" customWidth="1"/>
    <col min="10" max="10" width="7.28515625" bestFit="1" customWidth="1"/>
    <col min="11" max="11" width="10.85546875" bestFit="1" customWidth="1"/>
    <col min="13" max="13" width="7.28515625" bestFit="1" customWidth="1"/>
    <col min="14" max="14" width="6.140625" bestFit="1" customWidth="1"/>
    <col min="15" max="15" width="11.5703125" bestFit="1" customWidth="1"/>
    <col min="16" max="16" width="7.28515625" bestFit="1" customWidth="1"/>
    <col min="17" max="17" width="11.7109375" bestFit="1" customWidth="1"/>
    <col min="18" max="18" width="13" customWidth="1"/>
    <col min="19" max="19" width="7.28515625" bestFit="1" customWidth="1"/>
    <col min="20" max="20" width="12.85546875" bestFit="1" customWidth="1"/>
    <col min="21" max="21" width="18" bestFit="1" customWidth="1"/>
  </cols>
  <sheetData>
    <row r="4" spans="1:20">
      <c r="A4" s="59" t="s">
        <v>132</v>
      </c>
    </row>
    <row r="5" spans="1:20">
      <c r="A5" s="49" t="s">
        <v>133</v>
      </c>
      <c r="B5" t="s">
        <v>134</v>
      </c>
      <c r="D5" s="49" t="s">
        <v>133</v>
      </c>
      <c r="E5" t="s">
        <v>135</v>
      </c>
      <c r="G5" s="49" t="s">
        <v>133</v>
      </c>
      <c r="H5" t="s">
        <v>136</v>
      </c>
      <c r="J5" s="49" t="s">
        <v>133</v>
      </c>
      <c r="K5" t="s">
        <v>137</v>
      </c>
      <c r="M5" s="49" t="s">
        <v>133</v>
      </c>
      <c r="N5" t="s">
        <v>138</v>
      </c>
      <c r="P5" s="49" t="s">
        <v>133</v>
      </c>
      <c r="Q5" t="s">
        <v>139</v>
      </c>
      <c r="S5" s="49" t="s">
        <v>133</v>
      </c>
      <c r="T5" t="s">
        <v>140</v>
      </c>
    </row>
    <row r="6" spans="1:20">
      <c r="A6" s="50" t="s">
        <v>141</v>
      </c>
      <c r="B6" s="148">
        <v>2263</v>
      </c>
      <c r="D6" s="50" t="s">
        <v>141</v>
      </c>
      <c r="E6" s="148">
        <v>0</v>
      </c>
      <c r="G6" s="50" t="s">
        <v>141</v>
      </c>
      <c r="H6" s="148">
        <v>0</v>
      </c>
      <c r="J6" s="50" t="s">
        <v>141</v>
      </c>
      <c r="K6" s="148">
        <v>0</v>
      </c>
      <c r="M6" s="50" t="s">
        <v>141</v>
      </c>
      <c r="N6" s="148">
        <v>0</v>
      </c>
      <c r="P6" s="50" t="s">
        <v>141</v>
      </c>
      <c r="Q6" s="148">
        <v>0</v>
      </c>
      <c r="S6" s="50" t="s">
        <v>141</v>
      </c>
      <c r="T6" s="148">
        <v>0</v>
      </c>
    </row>
    <row r="7" spans="1:20">
      <c r="A7" s="50" t="s">
        <v>142</v>
      </c>
      <c r="B7" s="148">
        <v>2072</v>
      </c>
      <c r="D7" s="50" t="s">
        <v>142</v>
      </c>
      <c r="E7" s="148">
        <v>0</v>
      </c>
      <c r="G7" s="50" t="s">
        <v>142</v>
      </c>
      <c r="H7" s="148">
        <v>0</v>
      </c>
      <c r="J7" s="50" t="s">
        <v>142</v>
      </c>
      <c r="K7" s="148">
        <v>0</v>
      </c>
      <c r="M7" s="50" t="s">
        <v>142</v>
      </c>
      <c r="N7" s="148">
        <v>0</v>
      </c>
      <c r="P7" s="50" t="s">
        <v>142</v>
      </c>
      <c r="Q7" s="148">
        <v>0</v>
      </c>
      <c r="S7" s="50" t="s">
        <v>142</v>
      </c>
      <c r="T7" s="148">
        <v>0</v>
      </c>
    </row>
    <row r="8" spans="1:20">
      <c r="A8" s="50" t="s">
        <v>143</v>
      </c>
      <c r="B8" s="148">
        <v>2178</v>
      </c>
      <c r="D8" s="50" t="s">
        <v>143</v>
      </c>
      <c r="E8" s="148">
        <v>0</v>
      </c>
      <c r="G8" s="50" t="s">
        <v>143</v>
      </c>
      <c r="H8" s="148">
        <v>0</v>
      </c>
      <c r="J8" s="50" t="s">
        <v>143</v>
      </c>
      <c r="K8" s="148">
        <v>0</v>
      </c>
      <c r="M8" s="50" t="s">
        <v>143</v>
      </c>
      <c r="N8" s="148">
        <v>0</v>
      </c>
      <c r="P8" s="50" t="s">
        <v>143</v>
      </c>
      <c r="Q8" s="148">
        <v>0</v>
      </c>
      <c r="S8" s="50" t="s">
        <v>143</v>
      </c>
      <c r="T8" s="148">
        <v>0</v>
      </c>
    </row>
    <row r="9" spans="1:20">
      <c r="A9" s="50" t="s">
        <v>144</v>
      </c>
      <c r="B9" s="148">
        <v>2060</v>
      </c>
      <c r="D9" s="50" t="s">
        <v>144</v>
      </c>
      <c r="E9" s="148">
        <v>0</v>
      </c>
      <c r="G9" s="50" t="s">
        <v>144</v>
      </c>
      <c r="H9" s="148">
        <v>0</v>
      </c>
      <c r="J9" s="50" t="s">
        <v>144</v>
      </c>
      <c r="K9" s="148">
        <v>0</v>
      </c>
      <c r="M9" s="50" t="s">
        <v>144</v>
      </c>
      <c r="N9" s="148">
        <v>0</v>
      </c>
      <c r="P9" s="50" t="s">
        <v>144</v>
      </c>
      <c r="Q9" s="148">
        <v>0</v>
      </c>
      <c r="S9" s="50" t="s">
        <v>144</v>
      </c>
      <c r="T9" s="148">
        <v>0</v>
      </c>
    </row>
    <row r="10" spans="1:20">
      <c r="A10" s="50" t="s">
        <v>145</v>
      </c>
      <c r="B10" s="148">
        <v>1397</v>
      </c>
      <c r="D10" s="50" t="s">
        <v>145</v>
      </c>
      <c r="E10" s="148">
        <v>0</v>
      </c>
      <c r="G10" s="50" t="s">
        <v>145</v>
      </c>
      <c r="H10" s="148">
        <v>0</v>
      </c>
      <c r="J10" s="50" t="s">
        <v>145</v>
      </c>
      <c r="K10" s="148">
        <v>0</v>
      </c>
      <c r="M10" s="50" t="s">
        <v>145</v>
      </c>
      <c r="N10" s="148">
        <v>0</v>
      </c>
      <c r="P10" s="50" t="s">
        <v>145</v>
      </c>
      <c r="Q10" s="148">
        <v>0</v>
      </c>
      <c r="S10" s="50" t="s">
        <v>145</v>
      </c>
      <c r="T10" s="148">
        <v>0</v>
      </c>
    </row>
    <row r="11" spans="1:20">
      <c r="A11" s="50" t="s">
        <v>146</v>
      </c>
      <c r="B11" s="148">
        <v>1857</v>
      </c>
      <c r="D11" s="50" t="s">
        <v>146</v>
      </c>
      <c r="E11" s="148">
        <v>0</v>
      </c>
      <c r="G11" s="50" t="s">
        <v>146</v>
      </c>
      <c r="H11" s="148">
        <v>0</v>
      </c>
      <c r="J11" s="50" t="s">
        <v>146</v>
      </c>
      <c r="K11" s="148">
        <v>0</v>
      </c>
      <c r="M11" s="50" t="s">
        <v>146</v>
      </c>
      <c r="N11" s="148">
        <v>0</v>
      </c>
      <c r="P11" s="50" t="s">
        <v>146</v>
      </c>
      <c r="Q11" s="148">
        <v>0</v>
      </c>
      <c r="S11" s="50" t="s">
        <v>146</v>
      </c>
      <c r="T11" s="148">
        <v>0</v>
      </c>
    </row>
    <row r="22" spans="1:1">
      <c r="A22" s="60" t="s">
        <v>147</v>
      </c>
    </row>
    <row r="23" spans="1:1">
      <c r="A23" s="61" t="str">
        <f>IF(B41="The number of people killed or seriously injured (KSI)","The number of people killed or seriously injured (KPI).",IF(B41="Total number of people killed or injured","Total number of people killed or injured (PI).",IF(B41="The number of non-motorised and motorcyclist users killed or injured","The total number of pedestrian, pedal cyclist, motorcyclist and equestrian casualties on the SRN (PI).",IF(B41=" The number of motorcyclists killed or injured","The number of motorcyclist users killed or injured (PI).",IF(B41=" The number of cyclists killed or injured","The number of cyclists killed or injured (PI).",IF(B41="The number of pedestrians killed or injured","The number of pedestrians killed or injured (PI).",IF(B41="The number of equestrians killed or injured","The number of equestrians killed or injured (PI).",IF(B41="The number of injury collisions","The number of injury collisions (PI).",IF(B41="The accident frequency rate for National Highways staff","The accident frequency rate for National Highways staff (PI).",IF(B41="The accident frequency rate for National Highways supply chain staff","The accident frequency rate for National Highways supply chain staff (PI).",IF(B41="The % of traffic using iRAP 3 or above rated roads","The percentage of traffic using iRAP 3 or above rated roads (PI).")))))))))))</f>
        <v>The number of people killed or seriously injured (KPI).</v>
      </c>
    </row>
    <row r="24" spans="1:1">
      <c r="A24" s="61" t="str">
        <f>IF(B41="The number of people killed or seriously injured (KSI)","National-level target for road period 2:  A reduction in the number of KSI (adjusted figures) of at least 50% by the end of 2025 compared to 2005-09.","")</f>
        <v>National-level target for road period 2:  A reduction in the number of KSI (adjusted figures) of at least 50% by the end of 2025 compared to 2005-09.</v>
      </c>
    </row>
    <row r="25" spans="1:1">
      <c r="A25" s="61" t="str">
        <f>IF(B41="The number of people killed or seriously injured (KSI)","Measure: Number. ***Change in methodology – See Note 2.",IF(B41="Total number of people killed or injured","Measure: Number.",IF(B41="The number of non-motorised and motorcyclist users killed or injured","Measure: Number.",IF(B41=" The number of motorcyclists killed or injured","Measure: Number.",IF(B41=" The number of cyclists killed or injured","Measure: Number.",IF(B41="The number of pedestrians killed or injured","Measure: Number.",IF(B41="The number of equestrians killed or injured","Measure: Number.",IF(B41="The number of injury collisions","Measure: Number.",IF(B41="The accident frequency rate for National Highways staff","Measure: RIDDORs per 100,000 hours worked.",IF(B41="The accident frequency rate for National Highways supply chain staff","Measure: RIDDORs per 100,000 hours worked.",IF(B41="The % of traffic using iRAP 3 or above rated roads","Measure: Percentage.")))))))))))</f>
        <v>Measure: Number. ***Change in methodology – See Note 2.</v>
      </c>
    </row>
    <row r="26" spans="1:1">
      <c r="A26" s="61" t="str">
        <f>IF(B41="The % of traffic using iRAP 3* or above rated roads","percentage points","")</f>
        <v/>
      </c>
    </row>
    <row r="27" spans="1:1">
      <c r="A27" s="61" t="str">
        <f>IF(B41="The number of people killed or seriously injured (KSI)","Measure: Number (See Notes 1, 2 &amp; 3)",IF(B41="Total number of people killed or injured","Measure: Number (See Notes 1 &amp; 3)",IF(B41="The number of non-motorised and motorcyclist users killed or injured","Measure: Number (See Notes 1 &amp; 3)",IF(B41=" The number of motorcyclists killed or injured","Measure: Number (See Notes 1 &amp; 3)",IF(B41=" The number of cyclists killed or injured","Measure: Number (See Notes 1 &amp; 3)",IF(B41="The number of pedestrians killed or injured","Measure: Number (See Notes 1 &amp; 3)",IF(B41="The number of equestrians killed or injured","Measure: Number (See note 3)",IF(B41="The number of injury collisions","Measure: Number (See Notes 1, 3 &amp; 6)",IF(B41="The accident frequency rate for National Highways staff","Measure: RIDDORs per 100,000 hours worked (See Notes 5, 6 &amp; 7)",IF(B41="The accident frequency rate for National Highways supply chain staff","Measure: RIDDORs per 100,000 hours worked (See Notes 5, 6 &amp; 7)",IF(B41="The % of traffic using iRAP 3 or above rated roads","Measure: Percentage (See Notes 3, 4 &amp; 6)")))))))))))</f>
        <v>Measure: Number (See Notes 1, 2 &amp; 3)</v>
      </c>
    </row>
    <row r="28" spans="1:1">
      <c r="A28" s="61" t="str">
        <f>IF(B41="The accident frequency rate for National Highways supply chain staff", "Financial year", IF(B41="The % of traffic using iRAP 3 or above rated roads","Financial year", IF(B41="The accident frequency rate for National Highways staff","Financial year ","Calendar year ")))</f>
        <v xml:space="preserve">Calendar year </v>
      </c>
    </row>
    <row r="29" spans="1:1">
      <c r="A29" s="61" t="str">
        <f>IFERROR(IF(B41="The % of traffic using iRAP 3 or above rated roads",I68,IF(B41="The number of injury collisions",R68,IF(B41="The accident frequency rate for National Highways staff",T68,M68))),"")</f>
        <v>Fewest casualties (2021)</v>
      </c>
    </row>
    <row r="30" spans="1:1">
      <c r="A30" s="61" t="str">
        <f>IFERROR(IF(B41="The % of traffic using iRAP 3 or above rated roads",I69,IF(B41="The number of injury collisions",R69,IF(B41="The accident frequency rate for National Highways staff",T69,M69))),"")</f>
        <v>Most casualties (2021)</v>
      </c>
    </row>
    <row r="40" spans="1:8">
      <c r="B40" t="s">
        <v>148</v>
      </c>
      <c r="C40" t="s">
        <v>149</v>
      </c>
      <c r="D40" t="s">
        <v>150</v>
      </c>
      <c r="E40" t="s">
        <v>151</v>
      </c>
      <c r="F40" t="s">
        <v>152</v>
      </c>
      <c r="G40" t="s">
        <v>153</v>
      </c>
      <c r="H40" t="s">
        <v>154</v>
      </c>
    </row>
    <row r="41" spans="1:8">
      <c r="A41" s="49" t="s">
        <v>155</v>
      </c>
      <c r="B41" t="s">
        <v>156</v>
      </c>
    </row>
    <row r="43" spans="1:8">
      <c r="A43" s="49" t="s">
        <v>133</v>
      </c>
      <c r="B43" t="s">
        <v>135</v>
      </c>
      <c r="C43" t="s">
        <v>136</v>
      </c>
      <c r="D43" t="s">
        <v>137</v>
      </c>
      <c r="E43" t="s">
        <v>138</v>
      </c>
      <c r="F43" t="s">
        <v>139</v>
      </c>
      <c r="G43" t="s">
        <v>140</v>
      </c>
      <c r="H43" t="s">
        <v>134</v>
      </c>
    </row>
    <row r="44" spans="1:8">
      <c r="A44" s="50" t="s">
        <v>141</v>
      </c>
      <c r="B44" s="109">
        <v>0</v>
      </c>
      <c r="C44" s="109">
        <v>0</v>
      </c>
      <c r="D44" s="109">
        <v>0</v>
      </c>
      <c r="E44" s="109">
        <v>0</v>
      </c>
      <c r="F44" s="109">
        <v>0</v>
      </c>
      <c r="G44" s="109">
        <v>0</v>
      </c>
      <c r="H44" s="109">
        <v>2263</v>
      </c>
    </row>
    <row r="45" spans="1:8">
      <c r="A45" s="50" t="s">
        <v>142</v>
      </c>
      <c r="B45" s="109">
        <v>0</v>
      </c>
      <c r="C45" s="109">
        <v>0</v>
      </c>
      <c r="D45" s="109">
        <v>0</v>
      </c>
      <c r="E45" s="109">
        <v>0</v>
      </c>
      <c r="F45" s="109">
        <v>0</v>
      </c>
      <c r="G45" s="109">
        <v>0</v>
      </c>
      <c r="H45" s="109">
        <v>2072</v>
      </c>
    </row>
    <row r="46" spans="1:8">
      <c r="A46" s="50" t="s">
        <v>143</v>
      </c>
      <c r="B46" s="109">
        <v>0</v>
      </c>
      <c r="C46" s="109">
        <v>0</v>
      </c>
      <c r="D46" s="109">
        <v>0</v>
      </c>
      <c r="E46" s="109">
        <v>0</v>
      </c>
      <c r="F46" s="109">
        <v>0</v>
      </c>
      <c r="G46" s="109">
        <v>0</v>
      </c>
      <c r="H46" s="109">
        <v>2178</v>
      </c>
    </row>
    <row r="47" spans="1:8">
      <c r="A47" s="50" t="s">
        <v>144</v>
      </c>
      <c r="B47" s="109">
        <v>0</v>
      </c>
      <c r="C47" s="109">
        <v>0</v>
      </c>
      <c r="D47" s="109">
        <v>0</v>
      </c>
      <c r="E47" s="109">
        <v>0</v>
      </c>
      <c r="F47" s="109">
        <v>0</v>
      </c>
      <c r="G47" s="109">
        <v>0</v>
      </c>
      <c r="H47" s="109">
        <v>2060</v>
      </c>
    </row>
    <row r="48" spans="1:8">
      <c r="A48" s="50" t="s">
        <v>145</v>
      </c>
      <c r="B48" s="109">
        <v>0</v>
      </c>
      <c r="C48" s="109">
        <v>0</v>
      </c>
      <c r="D48" s="109">
        <v>0</v>
      </c>
      <c r="E48" s="109">
        <v>0</v>
      </c>
      <c r="F48" s="109">
        <v>0</v>
      </c>
      <c r="G48" s="109">
        <v>0</v>
      </c>
      <c r="H48" s="109">
        <v>1397</v>
      </c>
    </row>
    <row r="49" spans="1:11">
      <c r="A49" s="50" t="s">
        <v>146</v>
      </c>
      <c r="B49" s="109">
        <v>0</v>
      </c>
      <c r="C49" s="109">
        <v>0</v>
      </c>
      <c r="D49" s="109">
        <v>0</v>
      </c>
      <c r="E49" s="109">
        <v>0</v>
      </c>
      <c r="F49" s="109">
        <v>0</v>
      </c>
      <c r="G49" s="109">
        <v>0</v>
      </c>
      <c r="H49" s="109">
        <v>1857</v>
      </c>
    </row>
    <row r="59" spans="1:11" ht="15.75" thickBot="1">
      <c r="A59" s="62" t="str">
        <f>INDEX(A44:A58,MATCH("*",A44:A58,-1))</f>
        <v>2021</v>
      </c>
      <c r="B59" s="108">
        <f>VLOOKUP(A59,$A$44:$H$58,2)</f>
        <v>0</v>
      </c>
      <c r="C59" s="108">
        <f>VLOOKUP(A59,$A$44:$H$58,3)</f>
        <v>0</v>
      </c>
      <c r="D59" s="108">
        <f>VLOOKUP(A59,$A$44:$H$58,4)</f>
        <v>0</v>
      </c>
      <c r="E59" s="108">
        <f>VLOOKUP(A59,$A$44:$H$58,5)</f>
        <v>0</v>
      </c>
      <c r="F59" s="108">
        <f>VLOOKUP(A59,$A$44:$H$58,6)</f>
        <v>0</v>
      </c>
      <c r="G59" s="108">
        <f>VLOOKUP(A59,$A$44:$H$58,7)</f>
        <v>0</v>
      </c>
      <c r="H59" s="63">
        <f>VLOOKUP(A59,$A$44:$H$58,8)</f>
        <v>1857</v>
      </c>
      <c r="I59" s="64" t="s">
        <v>157</v>
      </c>
    </row>
    <row r="61" spans="1:11">
      <c r="E61" t="s">
        <v>158</v>
      </c>
    </row>
    <row r="62" spans="1:11">
      <c r="A62" t="s">
        <v>159</v>
      </c>
      <c r="B62" s="109" t="str">
        <f>IFERROR(IF(MAX(B59:G59)=0,"",MAX(B59:G59)),"")</f>
        <v/>
      </c>
      <c r="E62" s="65" t="e">
        <f>(B62/$H$59)</f>
        <v>#VALUE!</v>
      </c>
      <c r="F62" t="e">
        <f>IF(E62&gt;=0,"accounts for","")</f>
        <v>#VALUE!</v>
      </c>
      <c r="H62" t="s">
        <v>160</v>
      </c>
      <c r="I62" s="65" t="e">
        <f>ABS(E62)</f>
        <v>#VALUE!</v>
      </c>
      <c r="K62" t="e">
        <f>TEXT(I62,"0.00")&amp;" "&amp;A26</f>
        <v>#VALUE!</v>
      </c>
    </row>
    <row r="63" spans="1:11">
      <c r="A63" t="s">
        <v>161</v>
      </c>
      <c r="B63" s="109" t="str">
        <f>IFERROR(IF(B62="","",MIN(B59:G59)),"")</f>
        <v/>
      </c>
      <c r="E63" s="65" t="e">
        <f>(B63/$H$59)</f>
        <v>#VALUE!</v>
      </c>
      <c r="F63" t="e">
        <f>IF(E63&gt;=0,"accounts for","")</f>
        <v>#VALUE!</v>
      </c>
      <c r="H63" s="66" t="s">
        <v>160</v>
      </c>
      <c r="I63" s="65" t="e">
        <f>ABS(E63)</f>
        <v>#VALUE!</v>
      </c>
      <c r="K63" t="e">
        <f>TEXT(I63,"0.0")&amp;" "&amp;A26</f>
        <v>#VALUE!</v>
      </c>
    </row>
    <row r="64" spans="1:11">
      <c r="C64" s="109"/>
      <c r="E64" t="s">
        <v>162</v>
      </c>
    </row>
    <row r="65" spans="1:21">
      <c r="A65" t="s">
        <v>159</v>
      </c>
      <c r="B65" t="str">
        <f>IFERROR(INDEX(B40:H40,MATCH(B62,B59:H59,0)),"")</f>
        <v/>
      </c>
      <c r="E65" s="123" t="e">
        <f>B62-$H$59</f>
        <v>#VALUE!</v>
      </c>
      <c r="F65" t="e">
        <f>IF(E65&gt;0," were higher by "," were lower by ")</f>
        <v>#VALUE!</v>
      </c>
      <c r="H65" t="s">
        <v>160</v>
      </c>
      <c r="I65" s="124" t="e">
        <f>ABS(E65)</f>
        <v>#VALUE!</v>
      </c>
    </row>
    <row r="66" spans="1:21">
      <c r="A66" t="s">
        <v>161</v>
      </c>
      <c r="B66" t="str">
        <f>IFERROR(INDEX(B40:H40,MATCH(B63,B59:H59,0)),"")</f>
        <v/>
      </c>
      <c r="E66" s="123" t="e">
        <f>B63-$H$59</f>
        <v>#VALUE!</v>
      </c>
      <c r="F66" t="e">
        <f>IF(E66&gt;0," were higher by "," were lower by ")</f>
        <v>#VALUE!</v>
      </c>
      <c r="H66" s="66" t="s">
        <v>160</v>
      </c>
      <c r="I66" s="124" t="e">
        <f>ABS(E66)</f>
        <v>#VALUE!</v>
      </c>
    </row>
    <row r="68" spans="1:21">
      <c r="A68" t="s">
        <v>163</v>
      </c>
      <c r="B68" t="str">
        <f>B66</f>
        <v/>
      </c>
      <c r="E68" t="s">
        <v>164</v>
      </c>
      <c r="F68" t="str">
        <f>B68</f>
        <v/>
      </c>
      <c r="I68" t="str">
        <f>A68&amp;" ("&amp;A59&amp;")"</f>
        <v>Best performing (2021)</v>
      </c>
      <c r="M68" t="str">
        <f>E68&amp;" ("&amp;A59&amp;")"</f>
        <v>Fewest casualties (2021)</v>
      </c>
      <c r="Q68" t="s">
        <v>165</v>
      </c>
      <c r="R68" t="str">
        <f>Q68&amp;" ("&amp;A59&amp;")"</f>
        <v>Fewest collisions  (2021)</v>
      </c>
      <c r="T68" t="str">
        <f>U68&amp;" ("&amp;$A$59&amp;")"</f>
        <v>Fewest incidents (2021)</v>
      </c>
      <c r="U68" t="s">
        <v>166</v>
      </c>
    </row>
    <row r="69" spans="1:21">
      <c r="A69" t="s">
        <v>167</v>
      </c>
      <c r="B69" t="str">
        <f>B65</f>
        <v/>
      </c>
      <c r="E69" t="s">
        <v>168</v>
      </c>
      <c r="F69" t="str">
        <f>B69</f>
        <v/>
      </c>
      <c r="I69" t="str">
        <f>A69&amp;" ("&amp;A59&amp;")"</f>
        <v>Worst performing (2021)</v>
      </c>
      <c r="M69" t="str">
        <f>E69&amp;" ("&amp;A59&amp;")"</f>
        <v>Most casualties (2021)</v>
      </c>
      <c r="Q69" t="s">
        <v>169</v>
      </c>
      <c r="R69" t="str">
        <f>Q69&amp;" ("&amp;A59&amp;")"</f>
        <v>Most collisions (2021)</v>
      </c>
      <c r="T69" t="str">
        <f>U69 &amp;" ("&amp;$A$59&amp;")"</f>
        <v>Most incidents (2021)</v>
      </c>
      <c r="U69" t="s">
        <v>170</v>
      </c>
    </row>
    <row r="71" spans="1:21">
      <c r="A71" t="str">
        <f>IFERROR(IF(B41="The accident frequency rate for National Highways supply chain staff",A75,IF(B41="The accident frequency rate for National Highways staff",A75,IF(B41="The number of injury collisions",A76,IF(B41="The number of non-motorised and motorcyclist users killed or injured", A74,IF(B41="Total number of people killed or injured",A74,A72))))),"")</f>
        <v>Note: data only available at a national level</v>
      </c>
    </row>
    <row r="72" spans="1:21">
      <c r="A72" s="111" t="str">
        <f>IFERROR("Compared to National Highways total across all regions,"&amp;" the "&amp;B68&amp;" "&amp;F62&amp;" "&amp;TEXT(K63,"0%"&amp;" ")&amp;"while the "&amp;""&amp;B69&amp;""&amp;" "&amp;F63&amp;" "&amp;TEXT(K62,"0%")&amp;" .","Note: data only available at a national level")</f>
        <v>Note: data only available at a national level</v>
      </c>
    </row>
    <row r="73" spans="1:21">
      <c r="A73" s="112" t="str">
        <f>IFERROR(IF(B63&gt;0,"Compared to the national levels, accident rates in the "&amp;B68&amp;F66&amp;I66&amp;" while rates in the "&amp;B69&amp;F65&amp;I65,"Compared to national levels, accident rates in the "&amp;B69&amp;F65&amp;I65&amp;" while no accidents were recorded in the "&amp;B68&amp;" region."),"")</f>
        <v/>
      </c>
    </row>
    <row r="74" spans="1:21">
      <c r="A74" t="str">
        <f>IFERROR("The "&amp;B68&amp;" "&amp;F62&amp;" "&amp;TEXT(K63,"0%"&amp;" ")&amp;"of casualties on the SRN, while the "&amp;""&amp;B69&amp;""&amp;" "&amp;F63&amp;" "&amp;TEXT(K62,"0%")&amp;" .","Note: data only available at a national level")</f>
        <v>Note: data only available at a national level</v>
      </c>
      <c r="M74" t="s">
        <v>171</v>
      </c>
    </row>
    <row r="75" spans="1:21">
      <c r="A75">
        <f>IFERROR("Compared to the national level, the rate of RIDDORS in the "&amp;B68&amp;" "&amp;"is "&amp;K62&amp;" times greater, whilst in the "&amp;B69&amp;" "&amp;" the rate is "&amp;K63&amp;"times lower.",)</f>
        <v>0</v>
      </c>
    </row>
    <row r="76" spans="1:21">
      <c r="A76" t="str">
        <f>IFERROR("The "&amp;B68&amp;" "&amp;F62&amp;" "&amp;TEXT(K63,"0%"&amp;" ")&amp;"of collisions on the SRN, while the "&amp;""&amp;B69&amp;""&amp;" "&amp;F63&amp;" "&amp;TEXT(K62,"0%")&amp;" .","Note: data only available at a national level")</f>
        <v>Note: data only available at a national level</v>
      </c>
    </row>
    <row r="78" spans="1:21">
      <c r="A78" s="141" t="str">
        <f>IF(B41="The number of people killed or seriously injured (KSI)","See notes: 1, 2 and 3.",IF(B41="Total number of people killed or injured","See notes: 1 and 3",IF(B41="The % of traffic using iRAP 3 or above rated roads",C78&amp;A79,"")))</f>
        <v>See notes: 1, 2 and 3.</v>
      </c>
      <c r="C78" t="s">
        <v>172</v>
      </c>
    </row>
    <row r="79" spans="1:21" ht="31.5">
      <c r="A79" s="3" t="s">
        <v>173</v>
      </c>
      <c r="B79" s="1" t="s">
        <v>174</v>
      </c>
      <c r="U79" s="38" t="s">
        <v>175</v>
      </c>
    </row>
    <row r="80" spans="1:21" ht="189">
      <c r="A80" s="3" t="s">
        <v>41</v>
      </c>
      <c r="B80" s="16" t="s">
        <v>176</v>
      </c>
    </row>
    <row r="81" spans="1:2" ht="63">
      <c r="A81" s="3" t="s">
        <v>43</v>
      </c>
      <c r="B81" s="1" t="s">
        <v>177</v>
      </c>
    </row>
    <row r="82" spans="1:2" ht="63">
      <c r="A82" s="3" t="s">
        <v>45</v>
      </c>
      <c r="B82" s="1" t="s">
        <v>46</v>
      </c>
    </row>
    <row r="83" spans="1:2" ht="110.25">
      <c r="A83" s="3" t="s">
        <v>47</v>
      </c>
      <c r="B83" s="16" t="s">
        <v>48</v>
      </c>
    </row>
    <row r="84" spans="1:2" ht="15.75">
      <c r="A84" s="3" t="s">
        <v>49</v>
      </c>
      <c r="B84" s="1" t="s">
        <v>178</v>
      </c>
    </row>
    <row r="85" spans="1:2" ht="110.25">
      <c r="A85" s="3" t="s">
        <v>51</v>
      </c>
      <c r="B85" s="16" t="s">
        <v>50</v>
      </c>
    </row>
  </sheetData>
  <phoneticPr fontId="168" type="noConversion"/>
  <conditionalFormatting pivot="1" sqref="B6:B11">
    <cfRule type="expression" dxfId="6" priority="1">
      <formula>$B$41="The number of injury collisions"</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3B3B-5C8E-4233-B150-955CF6A09E44}">
  <sheetPr codeName="Sheet15">
    <tabColor rgb="FFFFC000"/>
  </sheetPr>
  <dimension ref="A2:K63"/>
  <sheetViews>
    <sheetView workbookViewId="0"/>
  </sheetViews>
  <sheetFormatPr defaultRowHeight="15"/>
  <cols>
    <col min="2" max="2" width="41" customWidth="1"/>
    <col min="4" max="4" width="59.7109375" bestFit="1" customWidth="1"/>
    <col min="5" max="5" width="21.85546875" customWidth="1"/>
    <col min="6" max="6" width="28.5703125" customWidth="1"/>
    <col min="7" max="7" width="18.5703125" customWidth="1"/>
    <col min="8" max="8" width="13.5703125" bestFit="1" customWidth="1"/>
    <col min="9" max="9" width="12.28515625" customWidth="1"/>
    <col min="10" max="11" width="11" bestFit="1" customWidth="1"/>
  </cols>
  <sheetData>
    <row r="2" spans="1:11" s="84" customFormat="1" ht="26.25" thickBot="1">
      <c r="A2" s="84" t="s">
        <v>179</v>
      </c>
      <c r="B2" s="84" t="s">
        <v>180</v>
      </c>
      <c r="C2" s="79" t="s">
        <v>133</v>
      </c>
      <c r="D2" s="80" t="s">
        <v>155</v>
      </c>
      <c r="E2" s="81" t="s">
        <v>154</v>
      </c>
      <c r="F2" s="82" t="s">
        <v>148</v>
      </c>
      <c r="G2" s="82" t="s">
        <v>181</v>
      </c>
      <c r="H2" s="82" t="s">
        <v>182</v>
      </c>
      <c r="I2" s="82" t="s">
        <v>183</v>
      </c>
      <c r="J2" s="82" t="s">
        <v>184</v>
      </c>
      <c r="K2" s="83" t="s">
        <v>185</v>
      </c>
    </row>
    <row r="3" spans="1:11">
      <c r="A3" s="46" t="str">
        <f>LEFT(Table_1a!$A$1,8)</f>
        <v>Table 1a</v>
      </c>
      <c r="B3" s="47" t="str">
        <f>Table_1a!A7</f>
        <v>January 2015 to December 2015</v>
      </c>
      <c r="C3" s="70" t="str">
        <f>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f>
        <v>2015</v>
      </c>
      <c r="D3" s="70" t="s">
        <v>156</v>
      </c>
      <c r="E3" s="71">
        <f>IFERROR(VLOOKUP($B3,Table_1a!$A$6:$I$100,COLUMN(E$1)-3,FALSE),"")</f>
        <v>2328</v>
      </c>
      <c r="F3" s="71">
        <f>IFERROR(VLOOKUP($B3,Table_1a!$A$6:$I$100,COLUMN(F$1)-3,FALSE),"")</f>
        <v>0</v>
      </c>
      <c r="G3" s="71">
        <f>IFERROR(VLOOKUP($B3,Table_1a!$A$6:$I$100,COLUMN(G$1)-3,FALSE),"")</f>
        <v>0</v>
      </c>
      <c r="H3" s="71">
        <f>IFERROR(VLOOKUP($B3,Table_1a!$A$6:$I$100,COLUMN(H$1)-3,FALSE),"")</f>
        <v>0</v>
      </c>
      <c r="I3" s="71">
        <f>IFERROR(VLOOKUP($B3,Table_1a!$A$6:$I$100,COLUMN(I$1)-3,FALSE),"")</f>
        <v>0</v>
      </c>
      <c r="J3" s="71">
        <f>IFERROR(VLOOKUP($B3,Table_1a!$A$6:$I$100,COLUMN(J$1)-3,FALSE),"")</f>
        <v>0</v>
      </c>
      <c r="K3" s="72">
        <f>IFERROR(VLOOKUP($B3,Table_1a!$A$6:$I$100,COLUMN(K$1)-3,FALSE),"")</f>
        <v>0</v>
      </c>
    </row>
    <row r="4" spans="1:11">
      <c r="A4" s="48" t="str">
        <f>LEFT(Table_1a!$A$1,8)</f>
        <v>Table 1a</v>
      </c>
      <c r="B4" t="str">
        <f>Table_1a!A8</f>
        <v>January 2016 to December 2016</v>
      </c>
      <c r="C4" s="69" t="str">
        <f t="shared" ref="C4:C43" si="0">IF(ISNUMBER(SEARCH("2015",B4)),"2015",IF(ISNUMBER(SEARCH("2016",B4)),"2016",IF(ISNUMBER(SEARCH("2017",B4)),"2017",IF(ISNUMBER(SEARCH("2018",B4)),"2018",IF(ISNUMBER(SEARCH("2019",B4)),"2019",IF(ISNUMBER(SEARCH("2020",B4)),"2020",IF(ISNUMBER(SEARCH("2021",B4)),"2021",IF(ISNUMBER(SEARCH("2022",B4)),"2022",IF(ISNUMBER(SEARCH("2023",B4)),"2023",IF(ISNUMBER(SEARCH("2024",B4)),"2024",IF(ISNUMBER(SEARCH("2025",B4)),"2025","")))))))))))</f>
        <v>2016</v>
      </c>
      <c r="D4" s="69" t="s">
        <v>156</v>
      </c>
      <c r="E4" s="73">
        <f>IFERROR(VLOOKUP($B4,Table_1a!$A$6:$I$100,COLUMN(E$1)-3,FALSE),"")</f>
        <v>2263</v>
      </c>
      <c r="F4" s="73">
        <f>IFERROR(VLOOKUP($B4,Table_1a!$A$6:$I$100,COLUMN(F$1)-3,FALSE),"")</f>
        <v>0</v>
      </c>
      <c r="G4" s="73">
        <f>IFERROR(VLOOKUP($B4,Table_1a!$A$6:$I$100,COLUMN(G$1)-3,FALSE),"")</f>
        <v>0</v>
      </c>
      <c r="H4" s="73">
        <f>IFERROR(VLOOKUP($B4,Table_1a!$A$6:$I$100,COLUMN(H$1)-3,FALSE),"")</f>
        <v>0</v>
      </c>
      <c r="I4" s="73">
        <f>IFERROR(VLOOKUP($B4,Table_1a!$A$6:$I$100,COLUMN(I$1)-3,FALSE),"")</f>
        <v>0</v>
      </c>
      <c r="J4" s="73">
        <f>IFERROR(VLOOKUP($B4,Table_1a!$A$6:$I$100,COLUMN(J$1)-3,FALSE),"")</f>
        <v>0</v>
      </c>
      <c r="K4" s="74">
        <f>IFERROR(VLOOKUP($B4,Table_1a!$A$6:$I$100,COLUMN(K$1)-3,FALSE),"")</f>
        <v>0</v>
      </c>
    </row>
    <row r="5" spans="1:11">
      <c r="A5" s="48" t="str">
        <f>LEFT(Table_1a!$A$1,8)</f>
        <v>Table 1a</v>
      </c>
      <c r="B5" t="str">
        <f>Table_1a!A9</f>
        <v>January 2017 to December 2017</v>
      </c>
      <c r="C5" s="69" t="str">
        <f t="shared" si="0"/>
        <v>2017</v>
      </c>
      <c r="D5" s="69" t="s">
        <v>156</v>
      </c>
      <c r="E5" s="73">
        <f>IFERROR(VLOOKUP($B5,Table_1a!$A$6:$I$100,COLUMN(E$1)-3,FALSE),"")</f>
        <v>2072</v>
      </c>
      <c r="F5" s="73">
        <f>IFERROR(VLOOKUP($B5,Table_1a!$A$6:$I$100,COLUMN(F$1)-3,FALSE),"")</f>
        <v>0</v>
      </c>
      <c r="G5" s="73">
        <f>IFERROR(VLOOKUP($B5,Table_1a!$A$6:$I$100,COLUMN(G$1)-3,FALSE),"")</f>
        <v>0</v>
      </c>
      <c r="H5" s="73">
        <f>IFERROR(VLOOKUP($B5,Table_1a!$A$6:$I$100,COLUMN(H$1)-3,FALSE),"")</f>
        <v>0</v>
      </c>
      <c r="I5" s="73">
        <f>IFERROR(VLOOKUP($B5,Table_1a!$A$6:$I$100,COLUMN(I$1)-3,FALSE),"")</f>
        <v>0</v>
      </c>
      <c r="J5" s="73">
        <f>IFERROR(VLOOKUP($B5,Table_1a!$A$6:$I$100,COLUMN(J$1)-3,FALSE),"")</f>
        <v>0</v>
      </c>
      <c r="K5" s="74">
        <f>IFERROR(VLOOKUP($B5,Table_1a!$A$6:$I$100,COLUMN(K$1)-3,FALSE),"")</f>
        <v>0</v>
      </c>
    </row>
    <row r="6" spans="1:11">
      <c r="A6" s="48" t="str">
        <f>LEFT(Table_1a!$A$1,8)</f>
        <v>Table 1a</v>
      </c>
      <c r="B6" t="str">
        <f>Table_1a!A10</f>
        <v>January 2018 to December 2018</v>
      </c>
      <c r="C6" s="69" t="str">
        <f t="shared" si="0"/>
        <v>2018</v>
      </c>
      <c r="D6" s="69" t="s">
        <v>156</v>
      </c>
      <c r="E6" s="73">
        <f>IFERROR(VLOOKUP($B6,Table_1a!$A$6:$I$100,COLUMN(E$1)-3,FALSE),"")</f>
        <v>2178</v>
      </c>
      <c r="F6" s="73">
        <f>IFERROR(VLOOKUP($B6,Table_1a!$A$6:$I$100,COLUMN(F$1)-3,FALSE),"")</f>
        <v>0</v>
      </c>
      <c r="G6" s="73">
        <f>IFERROR(VLOOKUP($B6,Table_1a!$A$6:$I$100,COLUMN(G$1)-3,FALSE),"")</f>
        <v>0</v>
      </c>
      <c r="H6" s="73">
        <f>IFERROR(VLOOKUP($B6,Table_1a!$A$6:$I$100,COLUMN(H$1)-3,FALSE),"")</f>
        <v>0</v>
      </c>
      <c r="I6" s="73">
        <f>IFERROR(VLOOKUP($B6,Table_1a!$A$6:$I$100,COLUMN(I$1)-3,FALSE),"")</f>
        <v>0</v>
      </c>
      <c r="J6" s="73">
        <f>IFERROR(VLOOKUP($B6,Table_1a!$A$6:$I$100,COLUMN(J$1)-3,FALSE),"")</f>
        <v>0</v>
      </c>
      <c r="K6" s="74">
        <f>IFERROR(VLOOKUP($B6,Table_1a!$A$6:$I$100,COLUMN(K$1)-3,FALSE),"")</f>
        <v>0</v>
      </c>
    </row>
    <row r="7" spans="1:11">
      <c r="A7" s="48" t="str">
        <f>LEFT(Table_1a!$A$1,8)</f>
        <v>Table 1a</v>
      </c>
      <c r="B7" t="str">
        <f>Table_1a!A11</f>
        <v>January 2019 to December 2019</v>
      </c>
      <c r="C7" s="69" t="str">
        <f t="shared" si="0"/>
        <v>2019</v>
      </c>
      <c r="D7" s="69" t="s">
        <v>156</v>
      </c>
      <c r="E7" s="73">
        <f>IFERROR(VLOOKUP($B7,Table_1a!$A$6:$I$100,COLUMN(E$1)-3,FALSE),"")</f>
        <v>2060</v>
      </c>
      <c r="F7" s="73">
        <f>IFERROR(VLOOKUP($B7,Table_1a!$A$6:$I$100,COLUMN(F$1)-3,FALSE),"")</f>
        <v>0</v>
      </c>
      <c r="G7" s="73">
        <f>IFERROR(VLOOKUP($B7,Table_1a!$A$6:$I$100,COLUMN(G$1)-3,FALSE),"")</f>
        <v>0</v>
      </c>
      <c r="H7" s="73">
        <f>IFERROR(VLOOKUP($B7,Table_1a!$A$6:$I$100,COLUMN(H$1)-3,FALSE),"")</f>
        <v>0</v>
      </c>
      <c r="I7" s="73">
        <f>IFERROR(VLOOKUP($B7,Table_1a!$A$6:$I$100,COLUMN(I$1)-3,FALSE),"")</f>
        <v>0</v>
      </c>
      <c r="J7" s="73">
        <f>IFERROR(VLOOKUP($B7,Table_1a!$A$6:$I$100,COLUMN(J$1)-3,FALSE),"")</f>
        <v>0</v>
      </c>
      <c r="K7" s="74">
        <f>IFERROR(VLOOKUP($B7,Table_1a!$A$6:$I$100,COLUMN(K$1)-3,FALSE),"")</f>
        <v>0</v>
      </c>
    </row>
    <row r="8" spans="1:11">
      <c r="A8" s="48" t="str">
        <f>LEFT(Table_1a!$A$1,8)</f>
        <v>Table 1a</v>
      </c>
      <c r="B8" t="str">
        <f>Table_1a!A12</f>
        <v>January 2020 to December 2020 [Note 1]</v>
      </c>
      <c r="C8" s="69" t="str">
        <f t="shared" si="0"/>
        <v>2020</v>
      </c>
      <c r="D8" s="69" t="s">
        <v>156</v>
      </c>
      <c r="E8" s="73">
        <f>IFERROR(VLOOKUP($B8,Table_1a!$A$6:$I$100,COLUMN(E$1)-3,FALSE),"")</f>
        <v>1397</v>
      </c>
      <c r="F8" s="73">
        <f>IFERROR(VLOOKUP($B8,Table_1a!$A$6:$I$100,COLUMN(F$1)-3,FALSE),"")</f>
        <v>0</v>
      </c>
      <c r="G8" s="73">
        <f>IFERROR(VLOOKUP($B8,Table_1a!$A$6:$I$100,COLUMN(G$1)-3,FALSE),"")</f>
        <v>0</v>
      </c>
      <c r="H8" s="73">
        <f>IFERROR(VLOOKUP($B8,Table_1a!$A$6:$I$100,COLUMN(H$1)-3,FALSE),"")</f>
        <v>0</v>
      </c>
      <c r="I8" s="73">
        <f>IFERROR(VLOOKUP($B8,Table_1a!$A$6:$I$100,COLUMN(I$1)-3,FALSE),"")</f>
        <v>0</v>
      </c>
      <c r="J8" s="73">
        <f>IFERROR(VLOOKUP($B8,Table_1a!$A$6:$I$100,COLUMN(J$1)-3,FALSE),"")</f>
        <v>0</v>
      </c>
      <c r="K8" s="74">
        <f>IFERROR(VLOOKUP($B8,Table_1a!$A$6:$I$100,COLUMN(K$1)-3,FALSE),"")</f>
        <v>0</v>
      </c>
    </row>
    <row r="9" spans="1:11" ht="15.75" thickBot="1">
      <c r="A9" s="48" t="str">
        <f>LEFT(Table_1a!$A$1,8)</f>
        <v>Table 1a</v>
      </c>
      <c r="B9" s="134" t="str">
        <f>Table_1a!A13</f>
        <v>January 2021 to December 2021 [Note 1], [Note 7]</v>
      </c>
      <c r="C9" s="69" t="str">
        <f t="shared" ref="C9" si="1">IF(ISNUMBER(SEARCH("2015",B9)),"2015",IF(ISNUMBER(SEARCH("2016",B9)),"2016",IF(ISNUMBER(SEARCH("2017",B9)),"2017",IF(ISNUMBER(SEARCH("2018",B9)),"2018",IF(ISNUMBER(SEARCH("2019",B9)),"2019",IF(ISNUMBER(SEARCH("2020",B9)),"2020",IF(ISNUMBER(SEARCH("2021",B9)),"2021",IF(ISNUMBER(SEARCH("2022",B9)),"2022",IF(ISNUMBER(SEARCH("2023",B9)),"2023",IF(ISNUMBER(SEARCH("2024",B9)),"2024",IF(ISNUMBER(SEARCH("2025",B9)),"2025","")))))))))))</f>
        <v>2021</v>
      </c>
      <c r="D9" s="69" t="s">
        <v>156</v>
      </c>
      <c r="E9" s="73">
        <f>IFERROR(VLOOKUP($B9,Table_1a!$A$6:$I$100,COLUMN(E$1)-3,FALSE),"")</f>
        <v>1857</v>
      </c>
      <c r="F9" s="73">
        <f>IFERROR(VLOOKUP($B9,Table_1a!$A$6:$I$100,COLUMN(F$1)-3,FALSE),"")</f>
        <v>0</v>
      </c>
      <c r="G9" s="73">
        <f>IFERROR(VLOOKUP($B9,Table_1a!$A$6:$I$100,COLUMN(G$1)-3,FALSE),"")</f>
        <v>0</v>
      </c>
      <c r="H9" s="73">
        <f>IFERROR(VLOOKUP($B9,Table_1a!$A$6:$I$100,COLUMN(H$1)-3,FALSE),"")</f>
        <v>0</v>
      </c>
      <c r="I9" s="73">
        <f>IFERROR(VLOOKUP($B9,Table_1a!$A$6:$I$100,COLUMN(I$1)-3,FALSE),"")</f>
        <v>0</v>
      </c>
      <c r="J9" s="73">
        <f>IFERROR(VLOOKUP($B9,Table_1a!$A$6:$I$100,COLUMN(J$1)-3,FALSE),"")</f>
        <v>0</v>
      </c>
      <c r="K9" s="74">
        <f>IFERROR(VLOOKUP($B9,Table_1a!$A$6:$I$100,COLUMN(K$1)-3,FALSE),"")</f>
        <v>0</v>
      </c>
    </row>
    <row r="10" spans="1:11">
      <c r="A10" s="46" t="str">
        <f>LEFT(Table_1b!$A$1,8)</f>
        <v>Table 1b</v>
      </c>
      <c r="B10" s="47" t="str">
        <f>Table_1b!A5</f>
        <v>January 2015 to December 2015</v>
      </c>
      <c r="C10" s="70" t="str">
        <f t="shared" si="0"/>
        <v>2015</v>
      </c>
      <c r="D10" s="70" t="s">
        <v>186</v>
      </c>
      <c r="E10" s="71">
        <f>IFERROR(VLOOKUP($B10,Table_1b!$A$4:$H$99,COLUMN(E$1)-3,FALSE),"")</f>
        <v>16375</v>
      </c>
      <c r="F10" s="71" t="str">
        <f>IFERROR(VLOOKUP($B10,Table_1b!$A$4:$H$99,COLUMN(F$1)-3,FALSE),"")</f>
        <v>[x]</v>
      </c>
      <c r="G10" s="71" t="str">
        <f>IFERROR(VLOOKUP($B10,Table_1b!$A$4:$H$99,COLUMN(G$1)-3,FALSE),"")</f>
        <v>[x]</v>
      </c>
      <c r="H10" s="71" t="str">
        <f>IFERROR(VLOOKUP($B10,Table_1b!$A$4:$H$99,COLUMN(H$1)-3,FALSE),"")</f>
        <v>[x]</v>
      </c>
      <c r="I10" s="71" t="str">
        <f>IFERROR(VLOOKUP($B10,Table_1b!$A$4:$H$99,COLUMN(I$1)-3,FALSE),"")</f>
        <v>[x]</v>
      </c>
      <c r="J10" s="71" t="str">
        <f>IFERROR(VLOOKUP($B10,Table_1b!$A$4:$H$99,COLUMN(J$1)-3,FALSE),"")</f>
        <v>[x]</v>
      </c>
      <c r="K10" s="72" t="str">
        <f>IFERROR(VLOOKUP($B10,Table_1b!$A$4:$H$99,COLUMN(K$1)-3,FALSE),"")</f>
        <v>[x]</v>
      </c>
    </row>
    <row r="11" spans="1:11">
      <c r="A11" s="48" t="str">
        <f>LEFT(Table_1b!$A$1,8)</f>
        <v>Table 1b</v>
      </c>
      <c r="B11" t="str">
        <f>Table_1b!A6</f>
        <v>January 2016 to December 2016</v>
      </c>
      <c r="C11" s="69" t="str">
        <f t="shared" si="0"/>
        <v>2016</v>
      </c>
      <c r="D11" s="69" t="s">
        <v>186</v>
      </c>
      <c r="E11" s="73">
        <f>IFERROR(VLOOKUP($B11,Table_1b!$A$4:$H$99,COLUMN(E$1)-3,FALSE),"")</f>
        <v>16233</v>
      </c>
      <c r="F11" s="73" t="str">
        <f>IFERROR(VLOOKUP($B11,Table_1b!$A$4:$H$99,COLUMN(F$1)-3,FALSE),"")</f>
        <v>[x]</v>
      </c>
      <c r="G11" s="73" t="str">
        <f>IFERROR(VLOOKUP($B11,Table_1b!$A$4:$H$99,COLUMN(G$1)-3,FALSE),"")</f>
        <v>[x]</v>
      </c>
      <c r="H11" s="73" t="str">
        <f>IFERROR(VLOOKUP($B11,Table_1b!$A$4:$H$99,COLUMN(H$1)-3,FALSE),"")</f>
        <v>[x]</v>
      </c>
      <c r="I11" s="73" t="str">
        <f>IFERROR(VLOOKUP($B11,Table_1b!$A$4:$H$99,COLUMN(I$1)-3,FALSE),"")</f>
        <v>[x]</v>
      </c>
      <c r="J11" s="73" t="str">
        <f>IFERROR(VLOOKUP($B11,Table_1b!$A$4:$H$99,COLUMN(J$1)-3,FALSE),"")</f>
        <v>[x]</v>
      </c>
      <c r="K11" s="74" t="str">
        <f>IFERROR(VLOOKUP($B11,Table_1b!$A$4:$H$99,COLUMN(K$1)-3,FALSE),"")</f>
        <v>[x]</v>
      </c>
    </row>
    <row r="12" spans="1:11">
      <c r="A12" s="48" t="str">
        <f>LEFT(Table_1b!$A$1,8)</f>
        <v>Table 1b</v>
      </c>
      <c r="B12" t="str">
        <f>Table_1b!A7</f>
        <v>January 2017 to December 2017</v>
      </c>
      <c r="C12" s="69" t="str">
        <f t="shared" si="0"/>
        <v>2017</v>
      </c>
      <c r="D12" s="69" t="s">
        <v>186</v>
      </c>
      <c r="E12" s="73">
        <f>IFERROR(VLOOKUP($B12,Table_1b!$A$4:$H$99,COLUMN(E$1)-3,FALSE),"")</f>
        <v>14225</v>
      </c>
      <c r="F12" s="73" t="str">
        <f>IFERROR(VLOOKUP($B12,Table_1b!$A$4:$H$99,COLUMN(F$1)-3,FALSE),"")</f>
        <v>[x]</v>
      </c>
      <c r="G12" s="73" t="str">
        <f>IFERROR(VLOOKUP($B12,Table_1b!$A$4:$H$99,COLUMN(G$1)-3,FALSE),"")</f>
        <v>[x]</v>
      </c>
      <c r="H12" s="73" t="str">
        <f>IFERROR(VLOOKUP($B12,Table_1b!$A$4:$H$99,COLUMN(H$1)-3,FALSE),"")</f>
        <v>[x]</v>
      </c>
      <c r="I12" s="73" t="str">
        <f>IFERROR(VLOOKUP($B12,Table_1b!$A$4:$H$99,COLUMN(I$1)-3,FALSE),"")</f>
        <v>[x]</v>
      </c>
      <c r="J12" s="73" t="str">
        <f>IFERROR(VLOOKUP($B12,Table_1b!$A$4:$H$99,COLUMN(J$1)-3,FALSE),"")</f>
        <v>[x]</v>
      </c>
      <c r="K12" s="74" t="str">
        <f>IFERROR(VLOOKUP($B12,Table_1b!$A$4:$H$99,COLUMN(K$1)-3,FALSE),"")</f>
        <v>[x]</v>
      </c>
    </row>
    <row r="13" spans="1:11">
      <c r="A13" s="48" t="str">
        <f>LEFT(Table_1b!$A$1,8)</f>
        <v>Table 1b</v>
      </c>
      <c r="B13" t="str">
        <f>Table_1b!A8</f>
        <v>January 2018 to December 2018</v>
      </c>
      <c r="C13" s="69" t="str">
        <f t="shared" si="0"/>
        <v>2018</v>
      </c>
      <c r="D13" s="69" t="s">
        <v>186</v>
      </c>
      <c r="E13" s="73">
        <f>IFERROR(VLOOKUP($B13,Table_1b!$A$4:$H$99,COLUMN(E$1)-3,FALSE),"")</f>
        <v>13380</v>
      </c>
      <c r="F13" s="73" t="str">
        <f>IFERROR(VLOOKUP($B13,Table_1b!$A$4:$H$99,COLUMN(F$1)-3,FALSE),"")</f>
        <v>[x]</v>
      </c>
      <c r="G13" s="73" t="str">
        <f>IFERROR(VLOOKUP($B13,Table_1b!$A$4:$H$99,COLUMN(G$1)-3,FALSE),"")</f>
        <v>[x]</v>
      </c>
      <c r="H13" s="73" t="str">
        <f>IFERROR(VLOOKUP($B13,Table_1b!$A$4:$H$99,COLUMN(H$1)-3,FALSE),"")</f>
        <v>[x]</v>
      </c>
      <c r="I13" s="73" t="str">
        <f>IFERROR(VLOOKUP($B13,Table_1b!$A$4:$H$99,COLUMN(I$1)-3,FALSE),"")</f>
        <v>[x]</v>
      </c>
      <c r="J13" s="73" t="str">
        <f>IFERROR(VLOOKUP($B13,Table_1b!$A$4:$H$99,COLUMN(J$1)-3,FALSE),"")</f>
        <v>[x]</v>
      </c>
      <c r="K13" s="74" t="str">
        <f>IFERROR(VLOOKUP($B13,Table_1b!$A$4:$H$99,COLUMN(K$1)-3,FALSE),"")</f>
        <v>[x]</v>
      </c>
    </row>
    <row r="14" spans="1:11">
      <c r="A14" s="48" t="str">
        <f>LEFT(Table_1b!$A$1,8)</f>
        <v>Table 1b</v>
      </c>
      <c r="B14" t="str">
        <f>Table_1b!A9</f>
        <v>January 2019 to December 2019</v>
      </c>
      <c r="C14" s="69" t="str">
        <f t="shared" si="0"/>
        <v>2019</v>
      </c>
      <c r="D14" s="69" t="s">
        <v>186</v>
      </c>
      <c r="E14" s="73">
        <f>IFERROR(VLOOKUP($B14,Table_1b!$A$4:$H$99,COLUMN(E$1)-3,FALSE),"")</f>
        <v>12347</v>
      </c>
      <c r="F14" s="73">
        <f>IFERROR(VLOOKUP($B14,Table_1b!$A$4:$H$99,COLUMN(F$1)-3,FALSE),"")</f>
        <v>1647</v>
      </c>
      <c r="G14" s="73">
        <f>IFERROR(VLOOKUP($B14,Table_1b!$A$4:$H$99,COLUMN(G$1)-3,FALSE),"")</f>
        <v>1580</v>
      </c>
      <c r="H14" s="73">
        <f>IFERROR(VLOOKUP($B14,Table_1b!$A$4:$H$99,COLUMN(H$1)-3,FALSE),"")</f>
        <v>1915</v>
      </c>
      <c r="I14" s="73">
        <f>IFERROR(VLOOKUP($B14,Table_1b!$A$4:$H$99,COLUMN(I$1)-3,FALSE),"")</f>
        <v>2036</v>
      </c>
      <c r="J14" s="73">
        <f>IFERROR(VLOOKUP($B14,Table_1b!$A$4:$H$99,COLUMN(J$1)-3,FALSE),"")</f>
        <v>3919</v>
      </c>
      <c r="K14" s="74">
        <f>IFERROR(VLOOKUP($B14,Table_1b!$A$4:$H$99,COLUMN(K$1)-3,FALSE),"")</f>
        <v>1250</v>
      </c>
    </row>
    <row r="15" spans="1:11">
      <c r="A15" s="48" t="str">
        <f>LEFT(Table_1b!$A$1,8)</f>
        <v>Table 1b</v>
      </c>
      <c r="B15" t="str">
        <f>Table_1b!A10</f>
        <v>January 2020 to December 2020 [Note 1]</v>
      </c>
      <c r="C15" s="69" t="str">
        <f t="shared" si="0"/>
        <v>2020</v>
      </c>
      <c r="D15" s="69" t="s">
        <v>186</v>
      </c>
      <c r="E15" s="73">
        <f>IFERROR(VLOOKUP($B15,Table_1b!$A$4:$H$99,COLUMN(E$1)-3,FALSE),"")</f>
        <v>7873</v>
      </c>
      <c r="F15" s="73">
        <f>IFERROR(VLOOKUP($B15,Table_1b!$A$4:$H$99,COLUMN(F$1)-3,FALSE),"")</f>
        <v>965</v>
      </c>
      <c r="G15" s="73">
        <f>IFERROR(VLOOKUP($B15,Table_1b!$A$4:$H$99,COLUMN(G$1)-3,FALSE),"")</f>
        <v>944</v>
      </c>
      <c r="H15" s="73">
        <f>IFERROR(VLOOKUP($B15,Table_1b!$A$4:$H$99,COLUMN(H$1)-3,FALSE),"")</f>
        <v>1316</v>
      </c>
      <c r="I15" s="73">
        <f>IFERROR(VLOOKUP($B15,Table_1b!$A$4:$H$99,COLUMN(I$1)-3,FALSE),"")</f>
        <v>1284</v>
      </c>
      <c r="J15" s="73">
        <f>IFERROR(VLOOKUP($B15,Table_1b!$A$4:$H$99,COLUMN(J$1)-3,FALSE),"")</f>
        <v>2598</v>
      </c>
      <c r="K15" s="74">
        <f>IFERROR(VLOOKUP($B15,Table_1b!$A$4:$H$99,COLUMN(K$1)-3,FALSE),"")</f>
        <v>766</v>
      </c>
    </row>
    <row r="16" spans="1:11" ht="15.75" thickBot="1">
      <c r="A16" s="48" t="str">
        <f>LEFT(Table_1b!$A$1,8)</f>
        <v>Table 1b</v>
      </c>
      <c r="B16" t="str">
        <f>Table_1b!A11</f>
        <v>January 2021 to December 2021 [Note 1]</v>
      </c>
      <c r="C16" s="69" t="str">
        <f t="shared" ref="C16" si="2">IF(ISNUMBER(SEARCH("2015",B16)),"2015",IF(ISNUMBER(SEARCH("2016",B16)),"2016",IF(ISNUMBER(SEARCH("2017",B16)),"2017",IF(ISNUMBER(SEARCH("2018",B16)),"2018",IF(ISNUMBER(SEARCH("2019",B16)),"2019",IF(ISNUMBER(SEARCH("2020",B16)),"2020",IF(ISNUMBER(SEARCH("2021",B16)),"2021",IF(ISNUMBER(SEARCH("2022",B16)),"2022",IF(ISNUMBER(SEARCH("2023",B16)),"2023",IF(ISNUMBER(SEARCH("2024",B16)),"2024",IF(ISNUMBER(SEARCH("2025",B16)),"2025","")))))))))))</f>
        <v>2021</v>
      </c>
      <c r="D16" s="69" t="s">
        <v>186</v>
      </c>
      <c r="E16" s="73">
        <f>IFERROR(VLOOKUP($B16,Table_1b!$A$4:$H$99,COLUMN(E$1)-3,FALSE),"")</f>
        <v>9819</v>
      </c>
      <c r="F16" s="73">
        <f>IFERROR(VLOOKUP($B16,Table_1b!$A$4:$H$99,COLUMN(F$1)-3,FALSE),"")</f>
        <v>1322</v>
      </c>
      <c r="G16" s="73">
        <f>IFERROR(VLOOKUP($B16,Table_1b!$A$4:$H$99,COLUMN(G$1)-3,FALSE),"")</f>
        <v>1268</v>
      </c>
      <c r="H16" s="73">
        <f>IFERROR(VLOOKUP($B16,Table_1b!$A$4:$H$99,COLUMN(H$1)-3,FALSE),"")</f>
        <v>1743</v>
      </c>
      <c r="I16" s="73">
        <f>IFERROR(VLOOKUP($B16,Table_1b!$A$4:$H$99,COLUMN(I$1)-3,FALSE),"")</f>
        <v>1457</v>
      </c>
      <c r="J16" s="73">
        <f>IFERROR(VLOOKUP($B16,Table_1b!$A$4:$H$99,COLUMN(J$1)-3,FALSE),"")</f>
        <v>3016</v>
      </c>
      <c r="K16" s="74">
        <f>IFERROR(VLOOKUP($B16,Table_1b!$A$4:$H$99,COLUMN(K$1)-3,FALSE),"")</f>
        <v>1013</v>
      </c>
    </row>
    <row r="17" spans="1:11">
      <c r="A17" s="46" t="str">
        <f>LEFT(Table_1c!$A$1,8)</f>
        <v>Table 1c</v>
      </c>
      <c r="B17" s="47" t="str">
        <f>Table_1c!A5</f>
        <v>January 2015 to December 2015</v>
      </c>
      <c r="C17" s="70" t="str">
        <f t="shared" si="0"/>
        <v>2015</v>
      </c>
      <c r="D17" s="70" t="s">
        <v>187</v>
      </c>
      <c r="E17" s="71">
        <f>IFERROR(VLOOKUP($B17,Table_1c!$A$4:$H$100,COLUMN(E$1)-3,FALSE),"")</f>
        <v>1160</v>
      </c>
      <c r="F17" s="71" t="str">
        <f>IFERROR(VLOOKUP($B17,Table_1c!$A$4:$H$100,COLUMN(F$1)-3,FALSE),"")</f>
        <v>[x]</v>
      </c>
      <c r="G17" s="71" t="str">
        <f>IFERROR(VLOOKUP($B17,Table_1c!$A$4:$H$100,COLUMN(G$1)-3,FALSE),"")</f>
        <v>[x]</v>
      </c>
      <c r="H17" s="71" t="str">
        <f>IFERROR(VLOOKUP($B17,Table_1c!$A$4:$H$100,COLUMN(H$1)-3,FALSE),"")</f>
        <v>[x]</v>
      </c>
      <c r="I17" s="71" t="str">
        <f>IFERROR(VLOOKUP($B17,Table_1c!$A$4:$H$100,COLUMN(I$1)-3,FALSE),"")</f>
        <v>[x]</v>
      </c>
      <c r="J17" s="71" t="str">
        <f>IFERROR(VLOOKUP($B17,Table_1c!$A$4:$H$100,COLUMN(J$1)-3,FALSE),"")</f>
        <v>[x]</v>
      </c>
      <c r="K17" s="72" t="str">
        <f>IFERROR(VLOOKUP($B17,Table_1c!$A$4:$H$100,COLUMN(K$1)-3,FALSE),"")</f>
        <v>[x]</v>
      </c>
    </row>
    <row r="18" spans="1:11">
      <c r="A18" s="48" t="str">
        <f>LEFT(Table_1c!$A$1,8)</f>
        <v>Table 1c</v>
      </c>
      <c r="B18" t="str">
        <f>Table_1c!A6</f>
        <v>January 2016 to December 2016</v>
      </c>
      <c r="C18" s="69" t="str">
        <f t="shared" si="0"/>
        <v>2016</v>
      </c>
      <c r="D18" s="69" t="s">
        <v>187</v>
      </c>
      <c r="E18" s="73">
        <f>IFERROR(VLOOKUP($B18,Table_1c!$A$4:$H$100,COLUMN(E$1)-3,FALSE),"")</f>
        <v>1170</v>
      </c>
      <c r="F18" s="73" t="str">
        <f>IFERROR(VLOOKUP($B18,Table_1c!$A$4:$H$100,COLUMN(F$1)-3,FALSE),"")</f>
        <v>[x]</v>
      </c>
      <c r="G18" s="73" t="str">
        <f>IFERROR(VLOOKUP($B18,Table_1c!$A$4:$H$100,COLUMN(G$1)-3,FALSE),"")</f>
        <v>[x]</v>
      </c>
      <c r="H18" s="73" t="str">
        <f>IFERROR(VLOOKUP($B18,Table_1c!$A$4:$H$100,COLUMN(H$1)-3,FALSE),"")</f>
        <v>[x]</v>
      </c>
      <c r="I18" s="73" t="str">
        <f>IFERROR(VLOOKUP($B18,Table_1c!$A$4:$H$100,COLUMN(I$1)-3,FALSE),"")</f>
        <v>[x]</v>
      </c>
      <c r="J18" s="73" t="str">
        <f>IFERROR(VLOOKUP($B18,Table_1c!$A$4:$H$100,COLUMN(J$1)-3,FALSE),"")</f>
        <v>[x]</v>
      </c>
      <c r="K18" s="74" t="str">
        <f>IFERROR(VLOOKUP($B18,Table_1c!$A$4:$H$100,COLUMN(K$1)-3,FALSE),"")</f>
        <v>[x]</v>
      </c>
    </row>
    <row r="19" spans="1:11">
      <c r="A19" s="48" t="str">
        <f>LEFT(Table_1c!$A$1,8)</f>
        <v>Table 1c</v>
      </c>
      <c r="B19" t="str">
        <f>Table_1c!A7</f>
        <v>January 2017 to December 2017</v>
      </c>
      <c r="C19" s="69" t="str">
        <f t="shared" si="0"/>
        <v>2017</v>
      </c>
      <c r="D19" s="69" t="s">
        <v>187</v>
      </c>
      <c r="E19" s="73">
        <f>IFERROR(VLOOKUP($B19,Table_1c!$A$4:$H$100,COLUMN(E$1)-3,FALSE),"")</f>
        <v>1050</v>
      </c>
      <c r="F19" s="73" t="str">
        <f>IFERROR(VLOOKUP($B19,Table_1c!$A$4:$H$100,COLUMN(F$1)-3,FALSE),"")</f>
        <v>[x]</v>
      </c>
      <c r="G19" s="73" t="str">
        <f>IFERROR(VLOOKUP($B19,Table_1c!$A$4:$H$100,COLUMN(G$1)-3,FALSE),"")</f>
        <v>[x]</v>
      </c>
      <c r="H19" s="73" t="str">
        <f>IFERROR(VLOOKUP($B19,Table_1c!$A$4:$H$100,COLUMN(H$1)-3,FALSE),"")</f>
        <v>[x]</v>
      </c>
      <c r="I19" s="73" t="str">
        <f>IFERROR(VLOOKUP($B19,Table_1c!$A$4:$H$100,COLUMN(I$1)-3,FALSE),"")</f>
        <v>[x]</v>
      </c>
      <c r="J19" s="73" t="str">
        <f>IFERROR(VLOOKUP($B19,Table_1c!$A$4:$H$100,COLUMN(J$1)-3,FALSE),"")</f>
        <v>[x]</v>
      </c>
      <c r="K19" s="74" t="str">
        <f>IFERROR(VLOOKUP($B19,Table_1c!$A$4:$H$100,COLUMN(K$1)-3,FALSE),"")</f>
        <v>[x]</v>
      </c>
    </row>
    <row r="20" spans="1:11">
      <c r="A20" s="48" t="str">
        <f>LEFT(Table_1c!$A$1,8)</f>
        <v>Table 1c</v>
      </c>
      <c r="B20" t="str">
        <f>Table_1c!A8</f>
        <v>January 2018 to December 2018</v>
      </c>
      <c r="C20" s="69" t="str">
        <f t="shared" si="0"/>
        <v>2018</v>
      </c>
      <c r="D20" s="69" t="s">
        <v>187</v>
      </c>
      <c r="E20" s="73">
        <f>IFERROR(VLOOKUP($B20,Table_1c!$A$4:$H$100,COLUMN(E$1)-3,FALSE),"")</f>
        <v>1036</v>
      </c>
      <c r="F20" s="73" t="str">
        <f>IFERROR(VLOOKUP($B20,Table_1c!$A$4:$H$100,COLUMN(F$1)-3,FALSE),"")</f>
        <v>[x]</v>
      </c>
      <c r="G20" s="73" t="str">
        <f>IFERROR(VLOOKUP($B20,Table_1c!$A$4:$H$100,COLUMN(G$1)-3,FALSE),"")</f>
        <v>[x]</v>
      </c>
      <c r="H20" s="73" t="str">
        <f>IFERROR(VLOOKUP($B20,Table_1c!$A$4:$H$100,COLUMN(H$1)-3,FALSE),"")</f>
        <v>[x]</v>
      </c>
      <c r="I20" s="73" t="str">
        <f>IFERROR(VLOOKUP($B20,Table_1c!$A$4:$H$100,COLUMN(I$1)-3,FALSE),"")</f>
        <v>[x]</v>
      </c>
      <c r="J20" s="73" t="str">
        <f>IFERROR(VLOOKUP($B20,Table_1c!$A$4:$H$100,COLUMN(J$1)-3,FALSE),"")</f>
        <v>[x]</v>
      </c>
      <c r="K20" s="74" t="str">
        <f>IFERROR(VLOOKUP($B20,Table_1c!$A$4:$H$100,COLUMN(K$1)-3,FALSE),"")</f>
        <v>[x]</v>
      </c>
    </row>
    <row r="21" spans="1:11">
      <c r="A21" s="48" t="str">
        <f>LEFT(Table_1c!$A$1,8)</f>
        <v>Table 1c</v>
      </c>
      <c r="B21" t="str">
        <f>Table_1c!A9</f>
        <v>January 2019 to December 2019</v>
      </c>
      <c r="C21" s="69" t="str">
        <f t="shared" si="0"/>
        <v>2019</v>
      </c>
      <c r="D21" s="69" t="s">
        <v>187</v>
      </c>
      <c r="E21" s="73">
        <f>IFERROR(VLOOKUP($B21,Table_1c!$A$4:$H$100,COLUMN(E$1)-3,FALSE),"")</f>
        <v>962</v>
      </c>
      <c r="F21" s="73">
        <f>IFERROR(VLOOKUP($B21,Table_1c!$A$4:$H$100,COLUMN(F$1)-3,FALSE),"")</f>
        <v>118</v>
      </c>
      <c r="G21" s="73">
        <f>IFERROR(VLOOKUP($B21,Table_1c!$A$4:$H$100,COLUMN(G$1)-3,FALSE),"")</f>
        <v>78</v>
      </c>
      <c r="H21" s="73">
        <f>IFERROR(VLOOKUP($B21,Table_1c!$A$4:$H$100,COLUMN(H$1)-3,FALSE),"")</f>
        <v>192</v>
      </c>
      <c r="I21" s="73">
        <f>IFERROR(VLOOKUP($B21,Table_1c!$A$4:$H$100,COLUMN(I$1)-3,FALSE),"")</f>
        <v>128</v>
      </c>
      <c r="J21" s="73">
        <f>IFERROR(VLOOKUP($B21,Table_1c!$A$4:$H$100,COLUMN(J$1)-3,FALSE),"")</f>
        <v>333</v>
      </c>
      <c r="K21" s="74">
        <f>IFERROR(VLOOKUP($B21,Table_1c!$A$4:$H$100,COLUMN(K$1)-3,FALSE),"")</f>
        <v>113</v>
      </c>
    </row>
    <row r="22" spans="1:11">
      <c r="A22" s="48" t="str">
        <f>LEFT(Table_1c!$A$1,8)</f>
        <v>Table 1c</v>
      </c>
      <c r="B22" t="str">
        <f>Table_1c!A10</f>
        <v>January 2020 to December 2020 [Note 1]</v>
      </c>
      <c r="C22" s="69" t="str">
        <f t="shared" si="0"/>
        <v>2020</v>
      </c>
      <c r="D22" s="69" t="s">
        <v>187</v>
      </c>
      <c r="E22" s="73">
        <f>IFERROR(VLOOKUP($B22,Table_1c!$A$4:$H$100,COLUMN(E$1)-3,FALSE),"")</f>
        <v>605</v>
      </c>
      <c r="F22" s="73">
        <f>IFERROR(VLOOKUP($B22,Table_1c!$A$4:$H$100,COLUMN(F$1)-3,FALSE),"")</f>
        <v>74</v>
      </c>
      <c r="G22" s="73">
        <f>IFERROR(VLOOKUP($B22,Table_1c!$A$4:$H$100,COLUMN(G$1)-3,FALSE),"")</f>
        <v>57</v>
      </c>
      <c r="H22" s="73">
        <f>IFERROR(VLOOKUP($B22,Table_1c!$A$4:$H$100,COLUMN(H$1)-3,FALSE),"")</f>
        <v>103</v>
      </c>
      <c r="I22" s="73">
        <f>IFERROR(VLOOKUP($B22,Table_1c!$A$4:$H$100,COLUMN(I$1)-3,FALSE),"")</f>
        <v>91</v>
      </c>
      <c r="J22" s="73">
        <f>IFERROR(VLOOKUP($B22,Table_1c!$A$4:$H$100,COLUMN(J$1)-3,FALSE),"")</f>
        <v>196</v>
      </c>
      <c r="K22" s="74">
        <f>IFERROR(VLOOKUP($B22,Table_1c!$A$4:$H$100,COLUMN(K$1)-3,FALSE),"")</f>
        <v>84</v>
      </c>
    </row>
    <row r="23" spans="1:11" ht="15.75" thickBot="1">
      <c r="A23" s="48" t="str">
        <f>LEFT(Table_1c!$A$1,8)</f>
        <v>Table 1c</v>
      </c>
      <c r="B23" t="str">
        <f>Table_1c!A11</f>
        <v>January 2021 to December 2021 [Note 1]</v>
      </c>
      <c r="C23" s="69" t="str">
        <f t="shared" ref="C23" si="3">IF(ISNUMBER(SEARCH("2015",B23)),"2015",IF(ISNUMBER(SEARCH("2016",B23)),"2016",IF(ISNUMBER(SEARCH("2017",B23)),"2017",IF(ISNUMBER(SEARCH("2018",B23)),"2018",IF(ISNUMBER(SEARCH("2019",B23)),"2019",IF(ISNUMBER(SEARCH("2020",B23)),"2020",IF(ISNUMBER(SEARCH("2021",B23)),"2021",IF(ISNUMBER(SEARCH("2022",B23)),"2022",IF(ISNUMBER(SEARCH("2023",B23)),"2023",IF(ISNUMBER(SEARCH("2024",B23)),"2024",IF(ISNUMBER(SEARCH("2025",B23)),"2025","")))))))))))</f>
        <v>2021</v>
      </c>
      <c r="D23" s="69" t="s">
        <v>187</v>
      </c>
      <c r="E23" s="73">
        <f>IFERROR(VLOOKUP($B23,Table_1c!$A$4:$H$100,COLUMN(E$1)-3,FALSE),"")</f>
        <v>803</v>
      </c>
      <c r="F23" s="73">
        <f>IFERROR(VLOOKUP($B23,Table_1c!$A$4:$H$100,COLUMN(F$1)-3,FALSE),"")</f>
        <v>73</v>
      </c>
      <c r="G23" s="73">
        <f>IFERROR(VLOOKUP($B23,Table_1c!$A$4:$H$100,COLUMN(G$1)-3,FALSE),"")</f>
        <v>68</v>
      </c>
      <c r="H23" s="73">
        <f>IFERROR(VLOOKUP($B23,Table_1c!$A$4:$H$100,COLUMN(H$1)-3,FALSE),"")</f>
        <v>156</v>
      </c>
      <c r="I23" s="73">
        <f>IFERROR(VLOOKUP($B23,Table_1c!$A$4:$H$100,COLUMN(I$1)-3,FALSE),"")</f>
        <v>142</v>
      </c>
      <c r="J23" s="73">
        <f>IFERROR(VLOOKUP($B23,Table_1c!$A$4:$H$100,COLUMN(J$1)-3,FALSE),"")</f>
        <v>252</v>
      </c>
      <c r="K23" s="74">
        <f>IFERROR(VLOOKUP($B23,Table_1c!$A$4:$H$100,COLUMN(K$1)-3,FALSE),"")</f>
        <v>112</v>
      </c>
    </row>
    <row r="24" spans="1:11">
      <c r="A24" s="46" t="str">
        <f>LEFT(Table_1d!$A$1,8)</f>
        <v>Table 1d</v>
      </c>
      <c r="B24" s="47" t="str">
        <f>Table_1d!A5</f>
        <v>January 2015 to December 2015</v>
      </c>
      <c r="C24" s="70" t="str">
        <f t="shared" si="0"/>
        <v>2015</v>
      </c>
      <c r="D24" s="70" t="s">
        <v>188</v>
      </c>
      <c r="E24" s="71">
        <f>IFERROR(VLOOKUP($B24,Table_1d!$A$5:$H$214,COLUMN(E$1)-3,FALSE),"")</f>
        <v>849</v>
      </c>
      <c r="F24" s="71">
        <f>IFERROR(VLOOKUP($B24,Table_1d!$A$5:$H$214,COLUMN(F$1)-3,FALSE),"")</f>
        <v>0</v>
      </c>
      <c r="G24" s="71">
        <f>IFERROR(VLOOKUP($B24,Table_1d!$A$5:$H$214,COLUMN(G$1)-3,FALSE),"")</f>
        <v>0</v>
      </c>
      <c r="H24" s="71">
        <f>IFERROR(VLOOKUP($B24,Table_1d!$A$5:$H$214,COLUMN(H$1)-3,FALSE),"")</f>
        <v>0</v>
      </c>
      <c r="I24" s="71">
        <f>IFERROR(VLOOKUP($B24,Table_1d!$A$5:$H$214,COLUMN(I$1)-3,FALSE),"")</f>
        <v>0</v>
      </c>
      <c r="J24" s="71">
        <f>IFERROR(VLOOKUP($B24,Table_1d!$A$5:$H$214,COLUMN(J$1)-3,FALSE),"")</f>
        <v>0</v>
      </c>
      <c r="K24" s="72">
        <f>IFERROR(VLOOKUP($B24,Table_1d!$A$5:$H$214,COLUMN(K$1)-3,FALSE),"")</f>
        <v>0</v>
      </c>
    </row>
    <row r="25" spans="1:11">
      <c r="A25" s="48" t="str">
        <f>LEFT(Table_1d!$A$1,8)</f>
        <v>Table 1d</v>
      </c>
      <c r="B25" t="str">
        <f>Table_1d!A6</f>
        <v>January 2016 to December 2016</v>
      </c>
      <c r="C25" s="69" t="str">
        <f t="shared" si="0"/>
        <v>2016</v>
      </c>
      <c r="D25" s="69" t="s">
        <v>188</v>
      </c>
      <c r="E25" s="73">
        <f>IFERROR(VLOOKUP($B25,Table_1d!$A$5:$H$214,COLUMN(E$1)-3,FALSE),"")</f>
        <v>864</v>
      </c>
      <c r="F25" s="73">
        <f>IFERROR(VLOOKUP($B25,Table_1d!$A$5:$H$214,COLUMN(F$1)-3,FALSE),"")</f>
        <v>0</v>
      </c>
      <c r="G25" s="73">
        <f>IFERROR(VLOOKUP($B25,Table_1d!$A$5:$H$214,COLUMN(G$1)-3,FALSE),"")</f>
        <v>0</v>
      </c>
      <c r="H25" s="73">
        <f>IFERROR(VLOOKUP($B25,Table_1d!$A$5:$H$214,COLUMN(H$1)-3,FALSE),"")</f>
        <v>0</v>
      </c>
      <c r="I25" s="73">
        <f>IFERROR(VLOOKUP($B25,Table_1d!$A$5:$H$214,COLUMN(I$1)-3,FALSE),"")</f>
        <v>0</v>
      </c>
      <c r="J25" s="73">
        <f>IFERROR(VLOOKUP($B25,Table_1d!$A$5:$H$214,COLUMN(J$1)-3,FALSE),"")</f>
        <v>0</v>
      </c>
      <c r="K25" s="74">
        <f>IFERROR(VLOOKUP($B25,Table_1d!$A$5:$H$214,COLUMN(K$1)-3,FALSE),"")</f>
        <v>0</v>
      </c>
    </row>
    <row r="26" spans="1:11">
      <c r="A26" s="48" t="str">
        <f>LEFT(Table_1d!$A$1,8)</f>
        <v>Table 1d</v>
      </c>
      <c r="B26" t="str">
        <f>Table_1d!A7</f>
        <v>January 2017 to December 2017</v>
      </c>
      <c r="C26" s="69" t="str">
        <f t="shared" si="0"/>
        <v>2017</v>
      </c>
      <c r="D26" s="69" t="s">
        <v>188</v>
      </c>
      <c r="E26" s="73">
        <f>IFERROR(VLOOKUP($B26,Table_1d!$A$5:$H$214,COLUMN(E$1)-3,FALSE),"")</f>
        <v>760</v>
      </c>
      <c r="F26" s="73">
        <f>IFERROR(VLOOKUP($B26,Table_1d!$A$5:$H$214,COLUMN(F$1)-3,FALSE),"")</f>
        <v>0</v>
      </c>
      <c r="G26" s="73">
        <f>IFERROR(VLOOKUP($B26,Table_1d!$A$5:$H$214,COLUMN(G$1)-3,FALSE),"")</f>
        <v>0</v>
      </c>
      <c r="H26" s="73">
        <f>IFERROR(VLOOKUP($B26,Table_1d!$A$5:$H$214,COLUMN(H$1)-3,FALSE),"")</f>
        <v>0</v>
      </c>
      <c r="I26" s="73">
        <f>IFERROR(VLOOKUP($B26,Table_1d!$A$5:$H$214,COLUMN(I$1)-3,FALSE),"")</f>
        <v>0</v>
      </c>
      <c r="J26" s="73">
        <f>IFERROR(VLOOKUP($B26,Table_1d!$A$5:$H$214,COLUMN(J$1)-3,FALSE),"")</f>
        <v>0</v>
      </c>
      <c r="K26" s="74">
        <f>IFERROR(VLOOKUP($B26,Table_1d!$A$5:$H$214,COLUMN(K$1)-3,FALSE),"")</f>
        <v>0</v>
      </c>
    </row>
    <row r="27" spans="1:11">
      <c r="A27" s="48" t="str">
        <f>LEFT(Table_1d!$A$1,8)</f>
        <v>Table 1d</v>
      </c>
      <c r="B27" t="str">
        <f>Table_1d!A8</f>
        <v>January 2018 to December 2018</v>
      </c>
      <c r="C27" s="69" t="str">
        <f t="shared" si="0"/>
        <v>2018</v>
      </c>
      <c r="D27" s="69" t="s">
        <v>188</v>
      </c>
      <c r="E27" s="73">
        <f>IFERROR(VLOOKUP($B27,Table_1d!$A$5:$H$214,COLUMN(E$1)-3,FALSE),"")</f>
        <v>785</v>
      </c>
      <c r="F27" s="73">
        <f>IFERROR(VLOOKUP($B27,Table_1d!$A$5:$H$214,COLUMN(F$1)-3,FALSE),"")</f>
        <v>0</v>
      </c>
      <c r="G27" s="73">
        <f>IFERROR(VLOOKUP($B27,Table_1d!$A$5:$H$214,COLUMN(G$1)-3,FALSE),"")</f>
        <v>0</v>
      </c>
      <c r="H27" s="73">
        <f>IFERROR(VLOOKUP($B27,Table_1d!$A$5:$H$214,COLUMN(H$1)-3,FALSE),"")</f>
        <v>0</v>
      </c>
      <c r="I27" s="73">
        <f>IFERROR(VLOOKUP($B27,Table_1d!$A$5:$H$214,COLUMN(I$1)-3,FALSE),"")</f>
        <v>0</v>
      </c>
      <c r="J27" s="73">
        <f>IFERROR(VLOOKUP($B27,Table_1d!$A$5:$H$214,COLUMN(J$1)-3,FALSE),"")</f>
        <v>0</v>
      </c>
      <c r="K27" s="74">
        <f>IFERROR(VLOOKUP($B27,Table_1d!$A$5:$H$214,COLUMN(K$1)-3,FALSE),"")</f>
        <v>0</v>
      </c>
    </row>
    <row r="28" spans="1:11">
      <c r="A28" s="48" t="str">
        <f>LEFT(Table_1d!$A$1,8)</f>
        <v>Table 1d</v>
      </c>
      <c r="B28" t="str">
        <f>Table_1d!A9</f>
        <v>January 2019 to December 2019</v>
      </c>
      <c r="C28" s="69" t="str">
        <f t="shared" si="0"/>
        <v>2019</v>
      </c>
      <c r="D28" s="69" t="s">
        <v>188</v>
      </c>
      <c r="E28" s="73">
        <f>IFERROR(VLOOKUP($B28,Table_1d!$A$5:$H$214,COLUMN(E$1)-3,FALSE),"")</f>
        <v>694</v>
      </c>
      <c r="F28" s="73">
        <f>IFERROR(VLOOKUP($B28,Table_1d!$A$5:$H$214,COLUMN(F$1)-3,FALSE),"")</f>
        <v>0</v>
      </c>
      <c r="G28" s="73">
        <f>IFERROR(VLOOKUP($B28,Table_1d!$A$5:$H$214,COLUMN(G$1)-3,FALSE),"")</f>
        <v>0</v>
      </c>
      <c r="H28" s="73">
        <f>IFERROR(VLOOKUP($B28,Table_1d!$A$5:$H$214,COLUMN(H$1)-3,FALSE),"")</f>
        <v>0</v>
      </c>
      <c r="I28" s="73">
        <f>IFERROR(VLOOKUP($B28,Table_1d!$A$5:$H$214,COLUMN(I$1)-3,FALSE),"")</f>
        <v>0</v>
      </c>
      <c r="J28" s="73">
        <f>IFERROR(VLOOKUP($B28,Table_1d!$A$5:$H$214,COLUMN(J$1)-3,FALSE),"")</f>
        <v>0</v>
      </c>
      <c r="K28" s="74">
        <f>IFERROR(VLOOKUP($B28,Table_1d!$A$5:$H$214,COLUMN(K$1)-3,FALSE),"")</f>
        <v>0</v>
      </c>
    </row>
    <row r="29" spans="1:11">
      <c r="A29" s="48" t="str">
        <f>LEFT(Table_1d!$A$1,8)</f>
        <v>Table 1d</v>
      </c>
      <c r="B29" t="str">
        <f>Table_1d!A10</f>
        <v>January 2020 to December 2020 [Note 1]</v>
      </c>
      <c r="C29" s="69" t="str">
        <f t="shared" si="0"/>
        <v>2020</v>
      </c>
      <c r="D29" s="69" t="s">
        <v>188</v>
      </c>
      <c r="E29" s="73">
        <f>IFERROR(VLOOKUP($B29,Table_1d!$A$5:$H$214,COLUMN(E$1)-3,FALSE),"")</f>
        <v>404</v>
      </c>
      <c r="F29" s="73">
        <f>IFERROR(VLOOKUP($B29,Table_1d!$A$5:$H$214,COLUMN(F$1)-3,FALSE),"")</f>
        <v>0</v>
      </c>
      <c r="G29" s="73">
        <f>IFERROR(VLOOKUP($B29,Table_1d!$A$5:$H$214,COLUMN(G$1)-3,FALSE),"")</f>
        <v>0</v>
      </c>
      <c r="H29" s="73">
        <f>IFERROR(VLOOKUP($B29,Table_1d!$A$5:$H$214,COLUMN(H$1)-3,FALSE),"")</f>
        <v>0</v>
      </c>
      <c r="I29" s="73">
        <f>IFERROR(VLOOKUP($B29,Table_1d!$A$5:$H$214,COLUMN(I$1)-3,FALSE),"")</f>
        <v>0</v>
      </c>
      <c r="J29" s="73">
        <f>IFERROR(VLOOKUP($B29,Table_1d!$A$5:$H$214,COLUMN(J$1)-3,FALSE),"")</f>
        <v>0</v>
      </c>
      <c r="K29" s="74">
        <f>IFERROR(VLOOKUP($B29,Table_1d!$A$5:$H$214,COLUMN(K$1)-3,FALSE),"")</f>
        <v>0</v>
      </c>
    </row>
    <row r="30" spans="1:11" ht="15.75" thickBot="1">
      <c r="A30" s="48" t="str">
        <f>LEFT(Table_1d!$A$1,8)</f>
        <v>Table 1d</v>
      </c>
      <c r="B30" t="str">
        <f>Table_1d!A11</f>
        <v>January 2021 to December 2021 [Note 1]</v>
      </c>
      <c r="C30" s="69" t="str">
        <f t="shared" ref="C30" si="4">IF(ISNUMBER(SEARCH("2015",B30)),"2015",IF(ISNUMBER(SEARCH("2016",B30)),"2016",IF(ISNUMBER(SEARCH("2017",B30)),"2017",IF(ISNUMBER(SEARCH("2018",B30)),"2018",IF(ISNUMBER(SEARCH("2019",B30)),"2019",IF(ISNUMBER(SEARCH("2020",B30)),"2020",IF(ISNUMBER(SEARCH("2021",B30)),"2021",IF(ISNUMBER(SEARCH("2022",B30)),"2022",IF(ISNUMBER(SEARCH("2023",B30)),"2023",IF(ISNUMBER(SEARCH("2024",B30)),"2024",IF(ISNUMBER(SEARCH("2025",B30)),"2025","")))))))))))</f>
        <v>2021</v>
      </c>
      <c r="D30" s="69" t="s">
        <v>188</v>
      </c>
      <c r="E30" s="73">
        <f>IFERROR(VLOOKUP($B30,Table_1d!$A$5:$H$214,COLUMN(E$1)-3,FALSE),"")</f>
        <v>547</v>
      </c>
      <c r="F30" s="73">
        <f>IFERROR(VLOOKUP($B30,Table_1d!$A$5:$H$214,COLUMN(F$1)-3,FALSE),"")</f>
        <v>0</v>
      </c>
      <c r="G30" s="73">
        <f>IFERROR(VLOOKUP($B30,Table_1d!$A$5:$H$214,COLUMN(G$1)-3,FALSE),"")</f>
        <v>0</v>
      </c>
      <c r="H30" s="73">
        <f>IFERROR(VLOOKUP($B30,Table_1d!$A$5:$H$214,COLUMN(H$1)-3,FALSE),"")</f>
        <v>0</v>
      </c>
      <c r="I30" s="73">
        <f>IFERROR(VLOOKUP($B30,Table_1d!$A$5:$H$214,COLUMN(I$1)-3,FALSE),"")</f>
        <v>0</v>
      </c>
      <c r="J30" s="73">
        <f>IFERROR(VLOOKUP($B30,Table_1d!$A$5:$H$214,COLUMN(J$1)-3,FALSE),"")</f>
        <v>0</v>
      </c>
      <c r="K30" s="74">
        <f>IFERROR(VLOOKUP($B30,Table_1d!$A$5:$H$214,COLUMN(K$1)-3,FALSE),"")</f>
        <v>0</v>
      </c>
    </row>
    <row r="31" spans="1:11">
      <c r="A31" s="46" t="str">
        <f>LEFT(Table_1e!$A$1,8)</f>
        <v>Table 1e</v>
      </c>
      <c r="B31" s="47" t="str">
        <f>Table_1e!A5</f>
        <v>January 2015 to December 2015</v>
      </c>
      <c r="C31" s="70" t="str">
        <f t="shared" si="0"/>
        <v>2015</v>
      </c>
      <c r="D31" s="70" t="s">
        <v>189</v>
      </c>
      <c r="E31" s="71">
        <f>IFERROR(VLOOKUP($B31,Table_1e!$A$5:$H$146,COLUMN(E$1)-3,FALSE),"")</f>
        <v>153</v>
      </c>
      <c r="F31" s="71">
        <f>IFERROR(VLOOKUP($B31,Table_1e!$A$5:$H$146,COLUMN(F$1)-3,FALSE),"")</f>
        <v>0</v>
      </c>
      <c r="G31" s="71">
        <f>IFERROR(VLOOKUP($B31,Table_1e!$A$5:$H$146,COLUMN(G$1)-3,FALSE),"")</f>
        <v>0</v>
      </c>
      <c r="H31" s="71">
        <f>IFERROR(VLOOKUP($B31,Table_1e!$A$5:$H$146,COLUMN(H$1)-3,FALSE),"")</f>
        <v>0</v>
      </c>
      <c r="I31" s="71">
        <f>IFERROR(VLOOKUP($B31,Table_1e!$A$5:$H$146,COLUMN(I$1)-3,FALSE),"")</f>
        <v>0</v>
      </c>
      <c r="J31" s="71">
        <f>IFERROR(VLOOKUP($B31,Table_1e!$A$5:$H$146,COLUMN(J$1)-3,FALSE),"")</f>
        <v>0</v>
      </c>
      <c r="K31" s="72">
        <f>IFERROR(VLOOKUP($B31,Table_1e!$A$5:$H$146,COLUMN(K$1)-3,FALSE),"")</f>
        <v>0</v>
      </c>
    </row>
    <row r="32" spans="1:11">
      <c r="A32" s="48" t="str">
        <f>LEFT(Table_1e!$A$1,8)</f>
        <v>Table 1e</v>
      </c>
      <c r="B32" t="str">
        <f>Table_1e!A6</f>
        <v>January 2016 to December 2016</v>
      </c>
      <c r="C32" s="69" t="str">
        <f t="shared" si="0"/>
        <v>2016</v>
      </c>
      <c r="D32" s="69" t="s">
        <v>189</v>
      </c>
      <c r="E32" s="73">
        <f>IFERROR(VLOOKUP($B32,Table_1e!$A$5:$H$146,COLUMN(E$1)-3,FALSE),"")</f>
        <v>152</v>
      </c>
      <c r="F32" s="73">
        <f>IFERROR(VLOOKUP($B32,Table_1e!$A$5:$H$146,COLUMN(F$1)-3,FALSE),"")</f>
        <v>0</v>
      </c>
      <c r="G32" s="73">
        <f>IFERROR(VLOOKUP($B32,Table_1e!$A$5:$H$146,COLUMN(G$1)-3,FALSE),"")</f>
        <v>0</v>
      </c>
      <c r="H32" s="73">
        <f>IFERROR(VLOOKUP($B32,Table_1e!$A$5:$H$146,COLUMN(H$1)-3,FALSE),"")</f>
        <v>0</v>
      </c>
      <c r="I32" s="73">
        <f>IFERROR(VLOOKUP($B32,Table_1e!$A$5:$H$146,COLUMN(I$1)-3,FALSE),"")</f>
        <v>0</v>
      </c>
      <c r="J32" s="73">
        <f>IFERROR(VLOOKUP($B32,Table_1e!$A$5:$H$146,COLUMN(J$1)-3,FALSE),"")</f>
        <v>0</v>
      </c>
      <c r="K32" s="74">
        <f>IFERROR(VLOOKUP($B32,Table_1e!$A$5:$H$146,COLUMN(K$1)-3,FALSE),"")</f>
        <v>0</v>
      </c>
    </row>
    <row r="33" spans="1:11">
      <c r="A33" s="48" t="str">
        <f>LEFT(Table_1e!$A$1,8)</f>
        <v>Table 1e</v>
      </c>
      <c r="B33" t="str">
        <f>Table_1e!A7</f>
        <v>January 2017 to December 2017</v>
      </c>
      <c r="C33" s="69" t="str">
        <f t="shared" si="0"/>
        <v>2017</v>
      </c>
      <c r="D33" s="69" t="s">
        <v>189</v>
      </c>
      <c r="E33" s="73">
        <f>IFERROR(VLOOKUP($B33,Table_1e!$A$5:$H$146,COLUMN(E$1)-3,FALSE),"")</f>
        <v>137</v>
      </c>
      <c r="F33" s="73">
        <f>IFERROR(VLOOKUP($B33,Table_1e!$A$5:$H$146,COLUMN(F$1)-3,FALSE),"")</f>
        <v>0</v>
      </c>
      <c r="G33" s="73">
        <f>IFERROR(VLOOKUP($B33,Table_1e!$A$5:$H$146,COLUMN(G$1)-3,FALSE),"")</f>
        <v>0</v>
      </c>
      <c r="H33" s="73">
        <f>IFERROR(VLOOKUP($B33,Table_1e!$A$5:$H$146,COLUMN(H$1)-3,FALSE),"")</f>
        <v>0</v>
      </c>
      <c r="I33" s="73">
        <f>IFERROR(VLOOKUP($B33,Table_1e!$A$5:$H$146,COLUMN(I$1)-3,FALSE),"")</f>
        <v>0</v>
      </c>
      <c r="J33" s="73">
        <f>IFERROR(VLOOKUP($B33,Table_1e!$A$5:$H$146,COLUMN(J$1)-3,FALSE),"")</f>
        <v>0</v>
      </c>
      <c r="K33" s="74">
        <f>IFERROR(VLOOKUP($B33,Table_1e!$A$5:$H$146,COLUMN(K$1)-3,FALSE),"")</f>
        <v>0</v>
      </c>
    </row>
    <row r="34" spans="1:11">
      <c r="A34" s="48" t="str">
        <f>LEFT(Table_1e!$A$1,8)</f>
        <v>Table 1e</v>
      </c>
      <c r="B34" t="str">
        <f>Table_1e!A8</f>
        <v>January 2018 to December 2018</v>
      </c>
      <c r="C34" s="69" t="str">
        <f t="shared" si="0"/>
        <v>2018</v>
      </c>
      <c r="D34" s="69" t="s">
        <v>189</v>
      </c>
      <c r="E34" s="73">
        <f>IFERROR(VLOOKUP($B34,Table_1e!$A$5:$H$146,COLUMN(E$1)-3,FALSE),"")</f>
        <v>103</v>
      </c>
      <c r="F34" s="73">
        <f>IFERROR(VLOOKUP($B34,Table_1e!$A$5:$H$146,COLUMN(F$1)-3,FALSE),"")</f>
        <v>0</v>
      </c>
      <c r="G34" s="73">
        <f>IFERROR(VLOOKUP($B34,Table_1e!$A$5:$H$146,COLUMN(G$1)-3,FALSE),"")</f>
        <v>0</v>
      </c>
      <c r="H34" s="73">
        <f>IFERROR(VLOOKUP($B34,Table_1e!$A$5:$H$146,COLUMN(H$1)-3,FALSE),"")</f>
        <v>0</v>
      </c>
      <c r="I34" s="73">
        <f>IFERROR(VLOOKUP($B34,Table_1e!$A$5:$H$146,COLUMN(I$1)-3,FALSE),"")</f>
        <v>0</v>
      </c>
      <c r="J34" s="73">
        <f>IFERROR(VLOOKUP($B34,Table_1e!$A$5:$H$146,COLUMN(J$1)-3,FALSE),"")</f>
        <v>0</v>
      </c>
      <c r="K34" s="74">
        <f>IFERROR(VLOOKUP($B34,Table_1e!$A$5:$H$146,COLUMN(K$1)-3,FALSE),"")</f>
        <v>0</v>
      </c>
    </row>
    <row r="35" spans="1:11">
      <c r="A35" s="48" t="str">
        <f>LEFT(Table_1e!$A$1,8)</f>
        <v>Table 1e</v>
      </c>
      <c r="B35" t="str">
        <f>Table_1e!A9</f>
        <v>January 2019 to December 2019</v>
      </c>
      <c r="C35" s="69" t="str">
        <f t="shared" si="0"/>
        <v>2019</v>
      </c>
      <c r="D35" s="69" t="s">
        <v>189</v>
      </c>
      <c r="E35" s="73">
        <f>IFERROR(VLOOKUP($B35,Table_1e!$A$5:$H$146,COLUMN(E$1)-3,FALSE),"")</f>
        <v>112</v>
      </c>
      <c r="F35" s="73">
        <f>IFERROR(VLOOKUP($B35,Table_1e!$A$5:$H$146,COLUMN(F$1)-3,FALSE),"")</f>
        <v>0</v>
      </c>
      <c r="G35" s="73">
        <f>IFERROR(VLOOKUP($B35,Table_1e!$A$5:$H$146,COLUMN(G$1)-3,FALSE),"")</f>
        <v>0</v>
      </c>
      <c r="H35" s="73">
        <f>IFERROR(VLOOKUP($B35,Table_1e!$A$5:$H$146,COLUMN(H$1)-3,FALSE),"")</f>
        <v>0</v>
      </c>
      <c r="I35" s="73">
        <f>IFERROR(VLOOKUP($B35,Table_1e!$A$5:$H$146,COLUMN(I$1)-3,FALSE),"")</f>
        <v>0</v>
      </c>
      <c r="J35" s="73">
        <f>IFERROR(VLOOKUP($B35,Table_1e!$A$5:$H$146,COLUMN(J$1)-3,FALSE),"")</f>
        <v>0</v>
      </c>
      <c r="K35" s="74">
        <f>IFERROR(VLOOKUP($B35,Table_1e!$A$5:$H$146,COLUMN(K$1)-3,FALSE),"")</f>
        <v>0</v>
      </c>
    </row>
    <row r="36" spans="1:11">
      <c r="A36" s="48" t="str">
        <f>LEFT(Table_1e!$A$1,8)</f>
        <v>Table 1e</v>
      </c>
      <c r="B36" t="str">
        <f>Table_1e!A10</f>
        <v>January 2020 to December 2020 [Note 1]</v>
      </c>
      <c r="C36" s="69" t="str">
        <f t="shared" si="0"/>
        <v>2020</v>
      </c>
      <c r="D36" s="69" t="s">
        <v>189</v>
      </c>
      <c r="E36" s="73">
        <f>IFERROR(VLOOKUP($B36,Table_1e!$A$5:$H$146,COLUMN(E$1)-3,FALSE),"")</f>
        <v>99</v>
      </c>
      <c r="F36" s="73">
        <f>IFERROR(VLOOKUP($B36,Table_1e!$A$5:$H$146,COLUMN(F$1)-3,FALSE),"")</f>
        <v>0</v>
      </c>
      <c r="G36" s="73">
        <f>IFERROR(VLOOKUP($B36,Table_1e!$A$5:$H$146,COLUMN(G$1)-3,FALSE),"")</f>
        <v>0</v>
      </c>
      <c r="H36" s="73">
        <f>IFERROR(VLOOKUP($B36,Table_1e!$A$5:$H$146,COLUMN(H$1)-3,FALSE),"")</f>
        <v>0</v>
      </c>
      <c r="I36" s="73">
        <f>IFERROR(VLOOKUP($B36,Table_1e!$A$5:$H$146,COLUMN(I$1)-3,FALSE),"")</f>
        <v>0</v>
      </c>
      <c r="J36" s="73">
        <f>IFERROR(VLOOKUP($B36,Table_1e!$A$5:$H$146,COLUMN(J$1)-3,FALSE),"")</f>
        <v>0</v>
      </c>
      <c r="K36" s="74">
        <f>IFERROR(VLOOKUP($B36,Table_1e!$A$5:$H$146,COLUMN(K$1)-3,FALSE),"")</f>
        <v>0</v>
      </c>
    </row>
    <row r="37" spans="1:11" ht="15.75" thickBot="1">
      <c r="A37" s="48" t="str">
        <f>LEFT(Table_1e!$A$1,8)</f>
        <v>Table 1e</v>
      </c>
      <c r="B37" t="str">
        <f>Table_1e!A11</f>
        <v>January 2021 to December 2021 [Note 1]</v>
      </c>
      <c r="C37" s="69" t="str">
        <f t="shared" ref="C37" si="5">IF(ISNUMBER(SEARCH("2015",B37)),"2015",IF(ISNUMBER(SEARCH("2016",B37)),"2016",IF(ISNUMBER(SEARCH("2017",B37)),"2017",IF(ISNUMBER(SEARCH("2018",B37)),"2018",IF(ISNUMBER(SEARCH("2019",B37)),"2019",IF(ISNUMBER(SEARCH("2020",B37)),"2020",IF(ISNUMBER(SEARCH("2021",B37)),"2021",IF(ISNUMBER(SEARCH("2022",B37)),"2022",IF(ISNUMBER(SEARCH("2023",B37)),"2023",IF(ISNUMBER(SEARCH("2024",B37)),"2024",IF(ISNUMBER(SEARCH("2025",B37)),"2025","")))))))))))</f>
        <v>2021</v>
      </c>
      <c r="D37" s="69" t="s">
        <v>189</v>
      </c>
      <c r="E37" s="73">
        <f>IFERROR(VLOOKUP($B37,Table_1e!$A$5:$H$146,COLUMN(E$1)-3,FALSE),"")</f>
        <v>113</v>
      </c>
      <c r="F37" s="73">
        <f>IFERROR(VLOOKUP($B37,Table_1e!$A$5:$H$146,COLUMN(F$1)-3,FALSE),"")</f>
        <v>0</v>
      </c>
      <c r="G37" s="73">
        <f>IFERROR(VLOOKUP($B37,Table_1e!$A$5:$H$146,COLUMN(G$1)-3,FALSE),"")</f>
        <v>0</v>
      </c>
      <c r="H37" s="73">
        <f>IFERROR(VLOOKUP($B37,Table_1e!$A$5:$H$146,COLUMN(H$1)-3,FALSE),"")</f>
        <v>0</v>
      </c>
      <c r="I37" s="73">
        <f>IFERROR(VLOOKUP($B37,Table_1e!$A$5:$H$146,COLUMN(I$1)-3,FALSE),"")</f>
        <v>0</v>
      </c>
      <c r="J37" s="73">
        <f>IFERROR(VLOOKUP($B37,Table_1e!$A$5:$H$146,COLUMN(J$1)-3,FALSE),"")</f>
        <v>0</v>
      </c>
      <c r="K37" s="74">
        <f>IFERROR(VLOOKUP($B37,Table_1e!$A$5:$H$146,COLUMN(K$1)-3,FALSE),"")</f>
        <v>0</v>
      </c>
    </row>
    <row r="38" spans="1:11">
      <c r="A38" s="46" t="str">
        <f>LEFT(Table_1f!$A$1,8)</f>
        <v>Table 1f</v>
      </c>
      <c r="B38" s="47" t="str">
        <f>Table_1f!A5</f>
        <v>January 2015 to December 2015</v>
      </c>
      <c r="C38" s="70" t="str">
        <f t="shared" si="0"/>
        <v>2015</v>
      </c>
      <c r="D38" s="70" t="s">
        <v>190</v>
      </c>
      <c r="E38" s="71">
        <f>IFERROR(VLOOKUP($B38,Table_1f!$A$5:$H$161,COLUMN(E$1)-3,FALSE),"")</f>
        <v>158</v>
      </c>
      <c r="F38" s="71">
        <f>IFERROR(VLOOKUP($B38,Table_1f!$A$5:$H$161,COLUMN(F$1)-3,FALSE),"")</f>
        <v>0</v>
      </c>
      <c r="G38" s="71">
        <f>IFERROR(VLOOKUP($B38,Table_1f!$A$5:$H$161,COLUMN(G$1)-3,FALSE),"")</f>
        <v>0</v>
      </c>
      <c r="H38" s="71">
        <f>IFERROR(VLOOKUP($B38,Table_1f!$A$5:$H$161,COLUMN(H$1)-3,FALSE),"")</f>
        <v>0</v>
      </c>
      <c r="I38" s="71">
        <f>IFERROR(VLOOKUP($B38,Table_1f!$A$5:$H$161,COLUMN(I$1)-3,FALSE),"")</f>
        <v>0</v>
      </c>
      <c r="J38" s="71">
        <f>IFERROR(VLOOKUP($B38,Table_1f!$A$5:$H$161,COLUMN(J$1)-3,FALSE),"")</f>
        <v>0</v>
      </c>
      <c r="K38" s="72">
        <f>IFERROR(VLOOKUP($B38,Table_1f!$A$5:$H$161,COLUMN(K$1)-3,FALSE),"")</f>
        <v>0</v>
      </c>
    </row>
    <row r="39" spans="1:11">
      <c r="A39" s="48" t="str">
        <f>LEFT(Table_1f!$A$1,8)</f>
        <v>Table 1f</v>
      </c>
      <c r="B39" t="str">
        <f>Table_1f!A6</f>
        <v>January 2016 to December 2016</v>
      </c>
      <c r="C39" s="69" t="str">
        <f t="shared" si="0"/>
        <v>2016</v>
      </c>
      <c r="D39" s="69" t="s">
        <v>190</v>
      </c>
      <c r="E39" s="73">
        <f>IFERROR(VLOOKUP($B39,Table_1f!$A$5:$H$161,COLUMN(E$1)-3,FALSE),"")</f>
        <v>154</v>
      </c>
      <c r="F39" s="73">
        <f>IFERROR(VLOOKUP($B39,Table_1f!$A$5:$H$161,COLUMN(F$1)-3,FALSE),"")</f>
        <v>0</v>
      </c>
      <c r="G39" s="73">
        <f>IFERROR(VLOOKUP($B39,Table_1f!$A$5:$H$161,COLUMN(G$1)-3,FALSE),"")</f>
        <v>0</v>
      </c>
      <c r="H39" s="73">
        <f>IFERROR(VLOOKUP($B39,Table_1f!$A$5:$H$161,COLUMN(H$1)-3,FALSE),"")</f>
        <v>0</v>
      </c>
      <c r="I39" s="73">
        <f>IFERROR(VLOOKUP($B39,Table_1f!$A$5:$H$161,COLUMN(I$1)-3,FALSE),"")</f>
        <v>0</v>
      </c>
      <c r="J39" s="73">
        <f>IFERROR(VLOOKUP($B39,Table_1f!$A$5:$H$161,COLUMN(J$1)-3,FALSE),"")</f>
        <v>0</v>
      </c>
      <c r="K39" s="74">
        <f>IFERROR(VLOOKUP($B39,Table_1f!$A$5:$H$161,COLUMN(K$1)-3,FALSE),"")</f>
        <v>0</v>
      </c>
    </row>
    <row r="40" spans="1:11">
      <c r="A40" s="48" t="str">
        <f>LEFT(Table_1f!$A$1,8)</f>
        <v>Table 1f</v>
      </c>
      <c r="B40" t="str">
        <f>Table_1f!A7</f>
        <v>January 2017 to December 2017</v>
      </c>
      <c r="C40" s="69" t="str">
        <f t="shared" si="0"/>
        <v>2017</v>
      </c>
      <c r="D40" s="69" t="s">
        <v>190</v>
      </c>
      <c r="E40" s="73">
        <f>IFERROR(VLOOKUP($B40,Table_1f!$A$5:$H$161,COLUMN(E$1)-3,FALSE),"")</f>
        <v>153</v>
      </c>
      <c r="F40" s="73">
        <f>IFERROR(VLOOKUP($B40,Table_1f!$A$5:$H$161,COLUMN(F$1)-3,FALSE),"")</f>
        <v>0</v>
      </c>
      <c r="G40" s="73">
        <f>IFERROR(VLOOKUP($B40,Table_1f!$A$5:$H$161,COLUMN(G$1)-3,FALSE),"")</f>
        <v>0</v>
      </c>
      <c r="H40" s="73">
        <f>IFERROR(VLOOKUP($B40,Table_1f!$A$5:$H$161,COLUMN(H$1)-3,FALSE),"")</f>
        <v>0</v>
      </c>
      <c r="I40" s="73">
        <f>IFERROR(VLOOKUP($B40,Table_1f!$A$5:$H$161,COLUMN(I$1)-3,FALSE),"")</f>
        <v>0</v>
      </c>
      <c r="J40" s="73">
        <f>IFERROR(VLOOKUP($B40,Table_1f!$A$5:$H$161,COLUMN(J$1)-3,FALSE),"")</f>
        <v>0</v>
      </c>
      <c r="K40" s="74">
        <f>IFERROR(VLOOKUP($B40,Table_1f!$A$5:$H$161,COLUMN(K$1)-3,FALSE),"")</f>
        <v>0</v>
      </c>
    </row>
    <row r="41" spans="1:11">
      <c r="A41" s="48" t="str">
        <f>LEFT(Table_1f!$A$1,8)</f>
        <v>Table 1f</v>
      </c>
      <c r="B41" t="str">
        <f>Table_1f!A8</f>
        <v>January 2018 to December 2018</v>
      </c>
      <c r="C41" s="69" t="str">
        <f t="shared" si="0"/>
        <v>2018</v>
      </c>
      <c r="D41" s="69" t="s">
        <v>190</v>
      </c>
      <c r="E41" s="73">
        <f>IFERROR(VLOOKUP($B41,Table_1f!$A$5:$H$161,COLUMN(E$1)-3,FALSE),"")</f>
        <v>148</v>
      </c>
      <c r="F41" s="73">
        <f>IFERROR(VLOOKUP($B41,Table_1f!$A$5:$H$161,COLUMN(F$1)-3,FALSE),"")</f>
        <v>0</v>
      </c>
      <c r="G41" s="73">
        <f>IFERROR(VLOOKUP($B41,Table_1f!$A$5:$H$161,COLUMN(G$1)-3,FALSE),"")</f>
        <v>0</v>
      </c>
      <c r="H41" s="73">
        <f>IFERROR(VLOOKUP($B41,Table_1f!$A$5:$H$161,COLUMN(H$1)-3,FALSE),"")</f>
        <v>0</v>
      </c>
      <c r="I41" s="73">
        <f>IFERROR(VLOOKUP($B41,Table_1f!$A$5:$H$161,COLUMN(I$1)-3,FALSE),"")</f>
        <v>0</v>
      </c>
      <c r="J41" s="73">
        <f>IFERROR(VLOOKUP($B41,Table_1f!$A$5:$H$161,COLUMN(J$1)-3,FALSE),"")</f>
        <v>0</v>
      </c>
      <c r="K41" s="74">
        <f>IFERROR(VLOOKUP($B41,Table_1f!$A$5:$H$161,COLUMN(K$1)-3,FALSE),"")</f>
        <v>0</v>
      </c>
    </row>
    <row r="42" spans="1:11">
      <c r="A42" s="48" t="str">
        <f>LEFT(Table_1f!$A$1,8)</f>
        <v>Table 1f</v>
      </c>
      <c r="B42" t="str">
        <f>Table_1f!A9</f>
        <v>January 2019 to December 2019</v>
      </c>
      <c r="C42" s="69" t="str">
        <f t="shared" si="0"/>
        <v>2019</v>
      </c>
      <c r="D42" s="69" t="s">
        <v>190</v>
      </c>
      <c r="E42" s="73">
        <f>IFERROR(VLOOKUP($B42,Table_1f!$A$5:$H$161,COLUMN(E$1)-3,FALSE),"")</f>
        <v>156</v>
      </c>
      <c r="F42" s="73">
        <f>IFERROR(VLOOKUP($B42,Table_1f!$A$5:$H$161,COLUMN(F$1)-3,FALSE),"")</f>
        <v>0</v>
      </c>
      <c r="G42" s="73">
        <f>IFERROR(VLOOKUP($B42,Table_1f!$A$5:$H$161,COLUMN(G$1)-3,FALSE),"")</f>
        <v>0</v>
      </c>
      <c r="H42" s="73">
        <f>IFERROR(VLOOKUP($B42,Table_1f!$A$5:$H$161,COLUMN(H$1)-3,FALSE),"")</f>
        <v>0</v>
      </c>
      <c r="I42" s="73">
        <f>IFERROR(VLOOKUP($B42,Table_1f!$A$5:$H$161,COLUMN(I$1)-3,FALSE),"")</f>
        <v>0</v>
      </c>
      <c r="J42" s="73">
        <f>IFERROR(VLOOKUP($B42,Table_1f!$A$5:$H$161,COLUMN(J$1)-3,FALSE),"")</f>
        <v>0</v>
      </c>
      <c r="K42" s="74">
        <f>IFERROR(VLOOKUP($B42,Table_1f!$A$5:$H$161,COLUMN(K$1)-3,FALSE),"")</f>
        <v>0</v>
      </c>
    </row>
    <row r="43" spans="1:11">
      <c r="A43" s="48" t="str">
        <f>LEFT(Table_1f!$A$1,8)</f>
        <v>Table 1f</v>
      </c>
      <c r="B43" t="str">
        <f>Table_1f!A10</f>
        <v>January 2020 to December 2020 [Note 1]</v>
      </c>
      <c r="C43" s="69" t="str">
        <f t="shared" si="0"/>
        <v>2020</v>
      </c>
      <c r="D43" s="69" t="s">
        <v>190</v>
      </c>
      <c r="E43" s="73">
        <f>IFERROR(VLOOKUP($B43,Table_1f!$A$5:$H$161,COLUMN(E$1)-3,FALSE),"")</f>
        <v>102</v>
      </c>
      <c r="F43" s="73">
        <f>IFERROR(VLOOKUP($B43,Table_1f!$A$5:$H$161,COLUMN(F$1)-3,FALSE),"")</f>
        <v>0</v>
      </c>
      <c r="G43" s="73">
        <f>IFERROR(VLOOKUP($B43,Table_1f!$A$5:$H$161,COLUMN(G$1)-3,FALSE),"")</f>
        <v>0</v>
      </c>
      <c r="H43" s="73">
        <f>IFERROR(VLOOKUP($B43,Table_1f!$A$5:$H$161,COLUMN(H$1)-3,FALSE),"")</f>
        <v>0</v>
      </c>
      <c r="I43" s="73">
        <f>IFERROR(VLOOKUP($B43,Table_1f!$A$5:$H$161,COLUMN(I$1)-3,FALSE),"")</f>
        <v>0</v>
      </c>
      <c r="J43" s="73">
        <f>IFERROR(VLOOKUP($B43,Table_1f!$A$5:$H$161,COLUMN(J$1)-3,FALSE),"")</f>
        <v>0</v>
      </c>
      <c r="K43" s="74">
        <f>IFERROR(VLOOKUP($B43,Table_1f!$A$5:$H$161,COLUMN(K$1)-3,FALSE),"")</f>
        <v>0</v>
      </c>
    </row>
    <row r="44" spans="1:11" ht="15.75" thickBot="1">
      <c r="A44" s="48" t="str">
        <f>LEFT(Table_1f!$A$1,8)</f>
        <v>Table 1f</v>
      </c>
      <c r="B44" t="str">
        <f>Table_1f!A11</f>
        <v>January 2021 to December 2021 [Note 1]</v>
      </c>
      <c r="C44" s="69" t="str">
        <f t="shared" ref="C44" si="6">IF(ISNUMBER(SEARCH("2015",B44)),"2015",IF(ISNUMBER(SEARCH("2016",B44)),"2016",IF(ISNUMBER(SEARCH("2017",B44)),"2017",IF(ISNUMBER(SEARCH("2018",B44)),"2018",IF(ISNUMBER(SEARCH("2019",B44)),"2019",IF(ISNUMBER(SEARCH("2020",B44)),"2020",IF(ISNUMBER(SEARCH("2021",B44)),"2021",IF(ISNUMBER(SEARCH("2022",B44)),"2022",IF(ISNUMBER(SEARCH("2023",B44)),"2023",IF(ISNUMBER(SEARCH("2024",B44)),"2024",IF(ISNUMBER(SEARCH("2025",B44)),"2025","")))))))))))</f>
        <v>2021</v>
      </c>
      <c r="D44" s="69" t="s">
        <v>190</v>
      </c>
      <c r="E44" s="73">
        <f>IFERROR(VLOOKUP($B44,Table_1f!$A$5:$H$161,COLUMN(E$1)-3,FALSE),"")</f>
        <v>143</v>
      </c>
      <c r="F44" s="73">
        <f>IFERROR(VLOOKUP($B44,Table_1f!$A$5:$H$161,COLUMN(F$1)-3,FALSE),"")</f>
        <v>0</v>
      </c>
      <c r="G44" s="73">
        <f>IFERROR(VLOOKUP($B44,Table_1f!$A$5:$H$161,COLUMN(G$1)-3,FALSE),"")</f>
        <v>0</v>
      </c>
      <c r="H44" s="73">
        <f>IFERROR(VLOOKUP($B44,Table_1f!$A$5:$H$161,COLUMN(H$1)-3,FALSE),"")</f>
        <v>0</v>
      </c>
      <c r="I44" s="73">
        <f>IFERROR(VLOOKUP($B44,Table_1f!$A$5:$H$161,COLUMN(I$1)-3,FALSE),"")</f>
        <v>0</v>
      </c>
      <c r="J44" s="73">
        <f>IFERROR(VLOOKUP($B44,Table_1f!$A$5:$H$161,COLUMN(J$1)-3,FALSE),"")</f>
        <v>0</v>
      </c>
      <c r="K44" s="74">
        <f>IFERROR(VLOOKUP($B44,Table_1f!$A$5:$H$161,COLUMN(K$1)-3,FALSE),"")</f>
        <v>0</v>
      </c>
    </row>
    <row r="45" spans="1:11">
      <c r="A45" s="46" t="str">
        <f>LEFT(Table_1g!$A$1,8)</f>
        <v>Table 1g</v>
      </c>
      <c r="B45" s="47" t="str">
        <f>Table_1g!A5</f>
        <v>January 2015 to December 2015</v>
      </c>
      <c r="C45" s="70" t="str">
        <f t="shared" ref="C45:C53" si="7">IF(ISNUMBER(SEARCH("2015",B45)),"2015",IF(ISNUMBER(SEARCH("2016",B45)),"2016",IF(ISNUMBER(SEARCH("2017",B45)),"2017",IF(ISNUMBER(SEARCH("2018",B45)),"2018",IF(ISNUMBER(SEARCH("2019",B45)),"2019",IF(ISNUMBER(SEARCH("2020",B45)),"2020",IF(ISNUMBER(SEARCH("2021",B45)),"2021",IF(ISNUMBER(SEARCH("2022",B45)),"2022",IF(ISNUMBER(SEARCH("2023",B45)),"2023",IF(ISNUMBER(SEARCH("2024",B45)),"2024",IF(ISNUMBER(SEARCH("2025",B45)),"2025","")))))))))))</f>
        <v>2015</v>
      </c>
      <c r="D45" s="70" t="s">
        <v>191</v>
      </c>
      <c r="E45" s="71">
        <f>IFERROR(VLOOKUP($B45,Table_1g!$A$5:$H$361,COLUMN(E$1)-3,FALSE),"")</f>
        <v>0</v>
      </c>
      <c r="F45" s="71">
        <f>IFERROR(VLOOKUP($B45,Table_1g!$A$5:$H$361,COLUMN(F$1)-3,FALSE),"")</f>
        <v>0</v>
      </c>
      <c r="G45" s="71">
        <f>IFERROR(VLOOKUP($B45,Table_1g!$A$5:$H$361,COLUMN(G$1)-3,FALSE),"")</f>
        <v>0</v>
      </c>
      <c r="H45" s="71">
        <f>IFERROR(VLOOKUP($B45,Table_1g!$A$5:$H$361,COLUMN(H$1)-3,FALSE),"")</f>
        <v>0</v>
      </c>
      <c r="I45" s="71">
        <f>IFERROR(VLOOKUP($B45,Table_1g!$A$5:$H$361,COLUMN(I$1)-3,FALSE),"")</f>
        <v>0</v>
      </c>
      <c r="J45" s="71">
        <f>IFERROR(VLOOKUP($B45,Table_1g!$A$5:$H$361,COLUMN(J$1)-3,FALSE),"")</f>
        <v>0</v>
      </c>
      <c r="K45" s="72">
        <f>IFERROR(VLOOKUP($B45,Table_1g!$A$5:$H$361,COLUMN(K$1)-3,FALSE),"")</f>
        <v>0</v>
      </c>
    </row>
    <row r="46" spans="1:11">
      <c r="A46" s="48" t="str">
        <f>LEFT(Table_1g!$A$1,8)</f>
        <v>Table 1g</v>
      </c>
      <c r="B46" t="str">
        <f>Table_1g!A6</f>
        <v>January 2016 to December 2016</v>
      </c>
      <c r="C46" s="69" t="str">
        <f t="shared" si="7"/>
        <v>2016</v>
      </c>
      <c r="D46" s="69" t="s">
        <v>191</v>
      </c>
      <c r="E46" s="73">
        <f>IFERROR(VLOOKUP($B46,Table_1g!$A$5:$H$361,COLUMN(E$1)-3,FALSE),"")</f>
        <v>0</v>
      </c>
      <c r="F46" s="73">
        <f>IFERROR(VLOOKUP($B46,Table_1g!$A$5:$H$361,COLUMN(F$1)-3,FALSE),"")</f>
        <v>0</v>
      </c>
      <c r="G46" s="73">
        <f>IFERROR(VLOOKUP($B46,Table_1g!$A$5:$H$361,COLUMN(G$1)-3,FALSE),"")</f>
        <v>0</v>
      </c>
      <c r="H46" s="73">
        <f>IFERROR(VLOOKUP($B46,Table_1g!$A$5:$H$361,COLUMN(H$1)-3,FALSE),"")</f>
        <v>0</v>
      </c>
      <c r="I46" s="73">
        <f>IFERROR(VLOOKUP($B46,Table_1g!$A$5:$H$361,COLUMN(I$1)-3,FALSE),"")</f>
        <v>0</v>
      </c>
      <c r="J46" s="73">
        <f>IFERROR(VLOOKUP($B46,Table_1g!$A$5:$H$361,COLUMN(J$1)-3,FALSE),"")</f>
        <v>0</v>
      </c>
      <c r="K46" s="74">
        <f>IFERROR(VLOOKUP($B46,Table_1g!$A$5:$H$361,COLUMN(K$1)-3,FALSE),"")</f>
        <v>0</v>
      </c>
    </row>
    <row r="47" spans="1:11">
      <c r="A47" s="48" t="str">
        <f>LEFT(Table_1g!$A$1,8)</f>
        <v>Table 1g</v>
      </c>
      <c r="B47" t="str">
        <f>Table_1g!A7</f>
        <v>January 2017 to December 2017</v>
      </c>
      <c r="C47" s="69" t="str">
        <f t="shared" si="7"/>
        <v>2017</v>
      </c>
      <c r="D47" s="69" t="s">
        <v>191</v>
      </c>
      <c r="E47" s="73">
        <f>IFERROR(VLOOKUP($B47,Table_1g!$A$5:$H$361,COLUMN(E$1)-3,FALSE),"")</f>
        <v>0</v>
      </c>
      <c r="F47" s="73">
        <f>IFERROR(VLOOKUP($B47,Table_1g!$A$5:$H$361,COLUMN(F$1)-3,FALSE),"")</f>
        <v>0</v>
      </c>
      <c r="G47" s="73">
        <f>IFERROR(VLOOKUP($B47,Table_1g!$A$5:$H$361,COLUMN(G$1)-3,FALSE),"")</f>
        <v>0</v>
      </c>
      <c r="H47" s="73">
        <f>IFERROR(VLOOKUP($B47,Table_1g!$A$5:$H$361,COLUMN(H$1)-3,FALSE),"")</f>
        <v>0</v>
      </c>
      <c r="I47" s="73">
        <f>IFERROR(VLOOKUP($B47,Table_1g!$A$5:$H$361,COLUMN(I$1)-3,FALSE),"")</f>
        <v>0</v>
      </c>
      <c r="J47" s="73">
        <f>IFERROR(VLOOKUP($B47,Table_1g!$A$5:$H$361,COLUMN(J$1)-3,FALSE),"")</f>
        <v>0</v>
      </c>
      <c r="K47" s="74">
        <f>IFERROR(VLOOKUP($B47,Table_1g!$A$5:$H$361,COLUMN(K$1)-3,FALSE),"")</f>
        <v>0</v>
      </c>
    </row>
    <row r="48" spans="1:11">
      <c r="A48" s="48" t="str">
        <f>LEFT(Table_1g!$A$1,8)</f>
        <v>Table 1g</v>
      </c>
      <c r="B48" t="str">
        <f>Table_1g!A8</f>
        <v>January 2018 to December 2018</v>
      </c>
      <c r="C48" s="69" t="str">
        <f t="shared" si="7"/>
        <v>2018</v>
      </c>
      <c r="D48" s="69" t="s">
        <v>191</v>
      </c>
      <c r="E48" s="73">
        <f>IFERROR(VLOOKUP($B48,Table_1g!$A$5:$H$361,COLUMN(E$1)-3,FALSE),"")</f>
        <v>0</v>
      </c>
      <c r="F48" s="73">
        <f>IFERROR(VLOOKUP($B48,Table_1g!$A$5:$H$361,COLUMN(F$1)-3,FALSE),"")</f>
        <v>0</v>
      </c>
      <c r="G48" s="73">
        <f>IFERROR(VLOOKUP($B48,Table_1g!$A$5:$H$361,COLUMN(G$1)-3,FALSE),"")</f>
        <v>0</v>
      </c>
      <c r="H48" s="73">
        <f>IFERROR(VLOOKUP($B48,Table_1g!$A$5:$H$361,COLUMN(H$1)-3,FALSE),"")</f>
        <v>0</v>
      </c>
      <c r="I48" s="73">
        <f>IFERROR(VLOOKUP($B48,Table_1g!$A$5:$H$361,COLUMN(I$1)-3,FALSE),"")</f>
        <v>0</v>
      </c>
      <c r="J48" s="73">
        <f>IFERROR(VLOOKUP($B48,Table_1g!$A$5:$H$361,COLUMN(J$1)-3,FALSE),"")</f>
        <v>0</v>
      </c>
      <c r="K48" s="74">
        <f>IFERROR(VLOOKUP($B48,Table_1g!$A$5:$H$361,COLUMN(K$1)-3,FALSE),"")</f>
        <v>0</v>
      </c>
    </row>
    <row r="49" spans="1:11">
      <c r="A49" s="48" t="str">
        <f>LEFT(Table_1g!$A$1,8)</f>
        <v>Table 1g</v>
      </c>
      <c r="B49" t="str">
        <f>Table_1g!A9</f>
        <v>January 2019 to December 2019</v>
      </c>
      <c r="C49" s="69" t="str">
        <f t="shared" si="7"/>
        <v>2019</v>
      </c>
      <c r="D49" s="69" t="s">
        <v>191</v>
      </c>
      <c r="E49" s="73">
        <f>IFERROR(VLOOKUP($B49,Table_1g!$A$5:$H$361,COLUMN(E$1)-3,FALSE),"")</f>
        <v>0</v>
      </c>
      <c r="F49" s="73">
        <f>IFERROR(VLOOKUP($B49,Table_1g!$A$5:$H$361,COLUMN(F$1)-3,FALSE),"")</f>
        <v>0</v>
      </c>
      <c r="G49" s="73">
        <f>IFERROR(VLOOKUP($B49,Table_1g!$A$5:$H$361,COLUMN(G$1)-3,FALSE),"")</f>
        <v>0</v>
      </c>
      <c r="H49" s="73">
        <f>IFERROR(VLOOKUP($B49,Table_1g!$A$5:$H$361,COLUMN(H$1)-3,FALSE),"")</f>
        <v>0</v>
      </c>
      <c r="I49" s="73">
        <f>IFERROR(VLOOKUP($B49,Table_1g!$A$5:$H$361,COLUMN(I$1)-3,FALSE),"")</f>
        <v>0</v>
      </c>
      <c r="J49" s="73">
        <f>IFERROR(VLOOKUP($B49,Table_1g!$A$5:$H$361,COLUMN(J$1)-3,FALSE),"")</f>
        <v>0</v>
      </c>
      <c r="K49" s="74">
        <f>IFERROR(VLOOKUP($B49,Table_1g!$A$5:$H$361,COLUMN(K$1)-3,FALSE),"")</f>
        <v>0</v>
      </c>
    </row>
    <row r="50" spans="1:11">
      <c r="A50" s="48" t="str">
        <f>LEFT(Table_1g!$A$1,8)</f>
        <v>Table 1g</v>
      </c>
      <c r="B50" t="str">
        <f>Table_1g!A10</f>
        <v>January 2020 to December 2020</v>
      </c>
      <c r="C50" s="69" t="str">
        <f t="shared" si="7"/>
        <v>2020</v>
      </c>
      <c r="D50" s="69" t="s">
        <v>191</v>
      </c>
      <c r="E50" s="73">
        <f>IFERROR(VLOOKUP($B50,Table_1g!$A$5:$H$361,COLUMN(E$1)-3,FALSE),"")</f>
        <v>0</v>
      </c>
      <c r="F50" s="73">
        <f>IFERROR(VLOOKUP($B50,Table_1g!$A$5:$H$361,COLUMN(F$1)-3,FALSE),"")</f>
        <v>0</v>
      </c>
      <c r="G50" s="73">
        <f>IFERROR(VLOOKUP($B50,Table_1g!$A$5:$H$361,COLUMN(G$1)-3,FALSE),"")</f>
        <v>0</v>
      </c>
      <c r="H50" s="73">
        <f>IFERROR(VLOOKUP($B50,Table_1g!$A$5:$H$361,COLUMN(H$1)-3,FALSE),"")</f>
        <v>0</v>
      </c>
      <c r="I50" s="73">
        <f>IFERROR(VLOOKUP($B50,Table_1g!$A$5:$H$361,COLUMN(I$1)-3,FALSE),"")</f>
        <v>0</v>
      </c>
      <c r="J50" s="73">
        <f>IFERROR(VLOOKUP($B50,Table_1g!$A$5:$H$361,COLUMN(J$1)-3,FALSE),"")</f>
        <v>0</v>
      </c>
      <c r="K50" s="74">
        <f>IFERROR(VLOOKUP($B50,Table_1g!$A$5:$H$361,COLUMN(K$1)-3,FALSE),"")</f>
        <v>0</v>
      </c>
    </row>
    <row r="51" spans="1:11" ht="15.75" thickBot="1">
      <c r="A51" s="48" t="str">
        <f>LEFT(Table_1g!$A$1,8)</f>
        <v>Table 1g</v>
      </c>
      <c r="B51" t="str">
        <f>Table_1g!A11</f>
        <v>January 2021 to December 2021</v>
      </c>
      <c r="C51" s="69" t="str">
        <f t="shared" ref="C51" si="8">IF(ISNUMBER(SEARCH("2015",B51)),"2015",IF(ISNUMBER(SEARCH("2016",B51)),"2016",IF(ISNUMBER(SEARCH("2017",B51)),"2017",IF(ISNUMBER(SEARCH("2018",B51)),"2018",IF(ISNUMBER(SEARCH("2019",B51)),"2019",IF(ISNUMBER(SEARCH("2020",B51)),"2020",IF(ISNUMBER(SEARCH("2021",B51)),"2021",IF(ISNUMBER(SEARCH("2022",B51)),"2022",IF(ISNUMBER(SEARCH("2023",B51)),"2023",IF(ISNUMBER(SEARCH("2024",B51)),"2024",IF(ISNUMBER(SEARCH("2025",B51)),"2025","")))))))))))</f>
        <v>2021</v>
      </c>
      <c r="D51" s="69" t="s">
        <v>191</v>
      </c>
      <c r="E51" s="73">
        <f>IFERROR(VLOOKUP($B51,Table_1g!$A$5:$H$361,COLUMN(E$1)-3,FALSE),"")</f>
        <v>0</v>
      </c>
      <c r="F51" s="73">
        <f>IFERROR(VLOOKUP($B51,Table_1g!$A$5:$H$361,COLUMN(F$1)-3,FALSE),"")</f>
        <v>0</v>
      </c>
      <c r="G51" s="73">
        <f>IFERROR(VLOOKUP($B51,Table_1g!$A$5:$H$361,COLUMN(G$1)-3,FALSE),"")</f>
        <v>0</v>
      </c>
      <c r="H51" s="73">
        <f>IFERROR(VLOOKUP($B51,Table_1g!$A$5:$H$361,COLUMN(H$1)-3,FALSE),"")</f>
        <v>0</v>
      </c>
      <c r="I51" s="73">
        <f>IFERROR(VLOOKUP($B51,Table_1g!$A$5:$H$361,COLUMN(I$1)-3,FALSE),"")</f>
        <v>0</v>
      </c>
      <c r="J51" s="73">
        <f>IFERROR(VLOOKUP($B51,Table_1g!$A$5:$H$361,COLUMN(J$1)-3,FALSE),"")</f>
        <v>0</v>
      </c>
      <c r="K51" s="74">
        <f>IFERROR(VLOOKUP($B51,Table_1g!$A$5:$H$361,COLUMN(K$1)-3,FALSE),"")</f>
        <v>0</v>
      </c>
    </row>
    <row r="52" spans="1:11">
      <c r="A52" s="46" t="str">
        <f>LEFT(Table_1h!$A$1,8)</f>
        <v>Table 1h</v>
      </c>
      <c r="B52" s="47" t="str">
        <f>Table_1h!A4</f>
        <v>January 2019 to December 2019</v>
      </c>
      <c r="C52" s="70" t="str">
        <f t="shared" si="7"/>
        <v>2019</v>
      </c>
      <c r="D52" s="70" t="s">
        <v>192</v>
      </c>
      <c r="E52" s="71">
        <f>IFERROR(VLOOKUP($B52,Table_1h!$A$4:$H$100,COLUMN(E$1)-3,FALSE),"")</f>
        <v>7905</v>
      </c>
      <c r="F52" s="71">
        <f>IFERROR(VLOOKUP($B52,Table_1h!$A$4:$H$100,COLUMN(F$1)-3,FALSE),"")</f>
        <v>1026</v>
      </c>
      <c r="G52" s="71">
        <f>IFERROR(VLOOKUP($B52,Table_1h!$A$4:$H$100,COLUMN(G$1)-3,FALSE),"")</f>
        <v>935</v>
      </c>
      <c r="H52" s="71">
        <f>IFERROR(VLOOKUP($B52,Table_1h!$A$4:$H$100,COLUMN(H$1)-3,FALSE),"")</f>
        <v>1312</v>
      </c>
      <c r="I52" s="71">
        <f>IFERROR(VLOOKUP($B52,Table_1h!$A$4:$H$100,COLUMN(I$1)-3,FALSE),"")</f>
        <v>1259</v>
      </c>
      <c r="J52" s="71">
        <f>IFERROR(VLOOKUP($B52,Table_1h!$A$4:$H$100,COLUMN(J$1)-3,FALSE),"")</f>
        <v>2591</v>
      </c>
      <c r="K52" s="72">
        <f>IFERROR(VLOOKUP($B52,Table_1h!$A$4:$H$100,COLUMN(K$1)-3,FALSE),"")</f>
        <v>782</v>
      </c>
    </row>
    <row r="53" spans="1:11">
      <c r="A53" s="48" t="str">
        <f>LEFT(Table_1h!$A$1,8)</f>
        <v>Table 1h</v>
      </c>
      <c r="B53" t="str">
        <f>Table_1h!A5</f>
        <v>January 2020 to December 2020 [Note 1]</v>
      </c>
      <c r="C53" s="69" t="str">
        <f t="shared" si="7"/>
        <v>2020</v>
      </c>
      <c r="D53" s="69" t="s">
        <v>192</v>
      </c>
      <c r="E53" s="73">
        <f>IFERROR(VLOOKUP($B53,Table_1h!$A$4:$H$100,COLUMN(E$1)-3,FALSE),"")</f>
        <v>5267</v>
      </c>
      <c r="F53" s="73">
        <f>IFERROR(VLOOKUP($B53,Table_1h!$A$4:$H$100,COLUMN(F$1)-3,FALSE),"")</f>
        <v>636</v>
      </c>
      <c r="G53" s="73">
        <f>IFERROR(VLOOKUP($B53,Table_1h!$A$4:$H$100,COLUMN(G$1)-3,FALSE),"")</f>
        <v>605</v>
      </c>
      <c r="H53" s="73">
        <f>IFERROR(VLOOKUP($B53,Table_1h!$A$4:$H$100,COLUMN(H$1)-3,FALSE),"")</f>
        <v>910</v>
      </c>
      <c r="I53" s="73">
        <f>IFERROR(VLOOKUP($B53,Table_1h!$A$4:$H$100,COLUMN(I$1)-3,FALSE),"")</f>
        <v>833</v>
      </c>
      <c r="J53" s="73">
        <f>IFERROR(VLOOKUP($B53,Table_1h!$A$4:$H$100,COLUMN(J$1)-3,FALSE),"")</f>
        <v>1765</v>
      </c>
      <c r="K53" s="74">
        <f>IFERROR(VLOOKUP($B53,Table_1h!$A$4:$H$100,COLUMN(K$1)-3,FALSE),"")</f>
        <v>518</v>
      </c>
    </row>
    <row r="54" spans="1:11" ht="15.75" thickBot="1">
      <c r="A54" s="48" t="str">
        <f>LEFT(Table_1h!$A$1,8)</f>
        <v>Table 1h</v>
      </c>
      <c r="B54" t="str">
        <f>Table_1h!A6</f>
        <v>January 2021 to December 2021 [Note 1]</v>
      </c>
      <c r="C54" s="69" t="str">
        <f t="shared" ref="C54" si="9">IF(ISNUMBER(SEARCH("2015",B54)),"2015",IF(ISNUMBER(SEARCH("2016",B54)),"2016",IF(ISNUMBER(SEARCH("2017",B54)),"2017",IF(ISNUMBER(SEARCH("2018",B54)),"2018",IF(ISNUMBER(SEARCH("2019",B54)),"2019",IF(ISNUMBER(SEARCH("2020",B54)),"2020",IF(ISNUMBER(SEARCH("2021",B54)),"2021",IF(ISNUMBER(SEARCH("2022",B54)),"2022",IF(ISNUMBER(SEARCH("2023",B54)),"2023",IF(ISNUMBER(SEARCH("2024",B54)),"2024",IF(ISNUMBER(SEARCH("2025",B54)),"2025","")))))))))))</f>
        <v>2021</v>
      </c>
      <c r="D54" s="69" t="s">
        <v>192</v>
      </c>
      <c r="E54" s="73">
        <f>IFERROR(VLOOKUP($B54,Table_1h!$A$4:$H$100,COLUMN(E$1)-3,FALSE),"")</f>
        <v>6539</v>
      </c>
      <c r="F54" s="73">
        <f>IFERROR(VLOOKUP($B54,Table_1h!$A$4:$H$100,COLUMN(F$1)-3,FALSE),"")</f>
        <v>849</v>
      </c>
      <c r="G54" s="73">
        <f>IFERROR(VLOOKUP($B54,Table_1h!$A$4:$H$100,COLUMN(G$1)-3,FALSE),"")</f>
        <v>798</v>
      </c>
      <c r="H54" s="73">
        <f>IFERROR(VLOOKUP($B54,Table_1h!$A$4:$H$100,COLUMN(H$1)-3,FALSE),"")</f>
        <v>1237</v>
      </c>
      <c r="I54" s="73">
        <f>IFERROR(VLOOKUP($B54,Table_1h!$A$4:$H$100,COLUMN(I$1)-3,FALSE),"")</f>
        <v>940</v>
      </c>
      <c r="J54" s="73">
        <f>IFERROR(VLOOKUP($B54,Table_1h!$A$4:$H$100,COLUMN(J$1)-3,FALSE),"")</f>
        <v>2043</v>
      </c>
      <c r="K54" s="74">
        <f>IFERROR(VLOOKUP($B54,Table_1h!$A$4:$H$100,COLUMN(K$1)-3,FALSE),"")</f>
        <v>672</v>
      </c>
    </row>
    <row r="55" spans="1:11">
      <c r="A55" s="46" t="str">
        <f>LEFT(Table_1i!$A$1,8)</f>
        <v>Table 1i</v>
      </c>
      <c r="B55" s="47" t="str">
        <f>Table_1i!A4</f>
        <v xml:space="preserve">April 2020 to March 2021 </v>
      </c>
      <c r="C55" s="70" t="s">
        <v>193</v>
      </c>
      <c r="D55" s="70" t="s">
        <v>194</v>
      </c>
      <c r="E55" s="75">
        <f>IFERROR(VLOOKUP($B55,Table_1i!$A$4:$H$100,COLUMN(E$1)-3,FALSE),"")</f>
        <v>0.05</v>
      </c>
      <c r="F55" s="75">
        <f>IFERROR(VLOOKUP($B55,Table_1i!$A$4:$H$100,COLUMN(F$1)-3,FALSE),"")</f>
        <v>0.06</v>
      </c>
      <c r="G55" s="75">
        <f>IFERROR(VLOOKUP($B55,Table_1i!$A$4:$H$100,COLUMN(G$1)-3,FALSE),"")</f>
        <v>0</v>
      </c>
      <c r="H55" s="75">
        <f>IFERROR(VLOOKUP($B55,Table_1i!$A$4:$H$100,COLUMN(H$1)-3,FALSE),"")</f>
        <v>0.05</v>
      </c>
      <c r="I55" s="75">
        <f>IFERROR(VLOOKUP($B55,Table_1i!$A$4:$H$100,COLUMN(I$1)-3,FALSE),"")</f>
        <v>0.11</v>
      </c>
      <c r="J55" s="75">
        <f>IFERROR(VLOOKUP($B55,Table_1i!$A$4:$H$100,COLUMN(J$1)-3,FALSE),"")</f>
        <v>0.06</v>
      </c>
      <c r="K55" s="76">
        <f>IFERROR(VLOOKUP($B55,Table_1i!$A$4:$H$100,COLUMN(K$1)-3,FALSE),"")</f>
        <v>0</v>
      </c>
    </row>
    <row r="56" spans="1:11">
      <c r="A56" s="48" t="str">
        <f>LEFT(Table_1i!$A$1,8)</f>
        <v>Table 1i</v>
      </c>
      <c r="B56" t="str">
        <f>Table_1i!A5</f>
        <v>April 2021 to March 2022</v>
      </c>
      <c r="C56" s="69" t="s">
        <v>195</v>
      </c>
      <c r="D56" s="69" t="s">
        <v>194</v>
      </c>
      <c r="E56" s="135">
        <f>IFERROR(VLOOKUP($B56,Table_1i!$A$4:$H$100,COLUMN(E$1)-3,FALSE),"")</f>
        <v>0.05</v>
      </c>
      <c r="F56" s="135">
        <f>IFERROR(VLOOKUP($B56,Table_1i!$A$4:$H$100,COLUMN(F$1)-3,FALSE),"")</f>
        <v>0.06</v>
      </c>
      <c r="G56" s="135">
        <f>IFERROR(VLOOKUP($B56,Table_1i!$A$4:$H$100,COLUMN(G$1)-3,FALSE),"")</f>
        <v>0.14000000000000001</v>
      </c>
      <c r="H56" s="135">
        <f>IFERROR(VLOOKUP($B56,Table_1i!$A$4:$H$100,COLUMN(H$1)-3,FALSE),"")</f>
        <v>0.13</v>
      </c>
      <c r="I56" s="135">
        <f>IFERROR(VLOOKUP($B56,Table_1i!$A$4:$H$100,COLUMN(I$1)-3,FALSE),"")</f>
        <v>0</v>
      </c>
      <c r="J56" s="135">
        <f>IFERROR(VLOOKUP($B56,Table_1i!$A$4:$H$100,COLUMN(J$1)-3,FALSE),"")</f>
        <v>0.05</v>
      </c>
      <c r="K56" s="136">
        <f>IFERROR(VLOOKUP($B56,Table_1i!$A$4:$H$100,COLUMN(K$1)-3,FALSE),"")</f>
        <v>0.06</v>
      </c>
    </row>
    <row r="57" spans="1:11" ht="15.75" thickBot="1">
      <c r="A57" s="48" t="str">
        <f>LEFT(Table_1i!$A$1,8)</f>
        <v>Table 1i</v>
      </c>
      <c r="B57" t="str">
        <f>Table_1i!A6</f>
        <v>April 2022 to March 2023</v>
      </c>
      <c r="C57" s="69" t="s">
        <v>196</v>
      </c>
      <c r="D57" s="69" t="s">
        <v>194</v>
      </c>
      <c r="E57" s="135">
        <f>IFERROR(VLOOKUP($B57,Table_1i!$A$4:$H$100,COLUMN(E$1)-3,FALSE),"")</f>
        <v>0.03</v>
      </c>
      <c r="F57" s="135">
        <f>IFERROR(VLOOKUP($B57,Table_1i!$A$4:$H$100,COLUMN(F$1)-3,FALSE),"")</f>
        <v>0.1</v>
      </c>
      <c r="G57" s="135">
        <f>IFERROR(VLOOKUP($B57,Table_1i!$A$4:$H$100,COLUMN(G$1)-3,FALSE),"")</f>
        <v>0</v>
      </c>
      <c r="H57" s="135">
        <f>IFERROR(VLOOKUP($B57,Table_1i!$A$4:$H$100,COLUMN(H$1)-3,FALSE),"")</f>
        <v>0.02</v>
      </c>
      <c r="I57" s="135">
        <f>IFERROR(VLOOKUP($B57,Table_1i!$A$4:$H$100,COLUMN(I$1)-3,FALSE),"")</f>
        <v>0</v>
      </c>
      <c r="J57" s="135">
        <f>IFERROR(VLOOKUP($B57,Table_1i!$A$4:$H$100,COLUMN(J$1)-3,FALSE),"")</f>
        <v>0</v>
      </c>
      <c r="K57" s="136">
        <f>IFERROR(VLOOKUP($B57,Table_1i!$A$4:$H$100,COLUMN(K$1)-3,FALSE),"")</f>
        <v>0.06</v>
      </c>
    </row>
    <row r="58" spans="1:11">
      <c r="A58" s="46" t="str">
        <f>LEFT(Table_1j!$A$1,8)</f>
        <v>Table 1j</v>
      </c>
      <c r="B58" s="47" t="str">
        <f>Table_1i!A4</f>
        <v xml:space="preserve">April 2020 to March 2021 </v>
      </c>
      <c r="C58" s="70" t="s">
        <v>193</v>
      </c>
      <c r="D58" s="70" t="s">
        <v>197</v>
      </c>
      <c r="E58" s="77">
        <f>IFERROR(VLOOKUP($B58,Table_1j!$A$4:$H$100,COLUMN(E$1)-3,FALSE),"")</f>
        <v>0.05</v>
      </c>
      <c r="F58" s="77">
        <f>IFERROR(VLOOKUP($B58,Table_1j!$A$4:$H$100,COLUMN(F$1)-3,FALSE),"")</f>
        <v>0</v>
      </c>
      <c r="G58" s="77">
        <f>IFERROR(VLOOKUP($B58,Table_1j!$A$4:$H$100,COLUMN(G$1)-3,FALSE),"")</f>
        <v>7.0000000000000007E-2</v>
      </c>
      <c r="H58" s="77">
        <f>IFERROR(VLOOKUP($B58,Table_1j!$A$4:$H$100,COLUMN(H$1)-3,FALSE),"")</f>
        <v>0.03</v>
      </c>
      <c r="I58" s="77">
        <f>IFERROR(VLOOKUP($B58,Table_1j!$A$4:$H$100,COLUMN(I$1)-3,FALSE),"")</f>
        <v>0</v>
      </c>
      <c r="J58" s="77">
        <f>IFERROR(VLOOKUP($B58,Table_1j!$A$4:$H$100,COLUMN(J$1)-3,FALSE),"")</f>
        <v>7.0000000000000007E-2</v>
      </c>
      <c r="K58" s="78">
        <f>IFERROR(VLOOKUP($B58,Table_1j!$A$4:$H$100,COLUMN(K$1)-3,FALSE),"")</f>
        <v>0.14000000000000001</v>
      </c>
    </row>
    <row r="59" spans="1:11">
      <c r="A59" s="48" t="str">
        <f>LEFT(Table_1j!$A$1,8)</f>
        <v>Table 1j</v>
      </c>
      <c r="B59" t="str">
        <f>Table_1i!A5</f>
        <v>April 2021 to March 2022</v>
      </c>
      <c r="C59" s="69" t="s">
        <v>195</v>
      </c>
      <c r="D59" s="69" t="s">
        <v>197</v>
      </c>
      <c r="E59" s="137">
        <f>IFERROR(VLOOKUP($B59,Table_1j!$A$4:$H$100,COLUMN(E$1)-3,FALSE),"")</f>
        <v>7.0000000000000007E-2</v>
      </c>
      <c r="F59" s="137">
        <f>IFERROR(VLOOKUP($B59,Table_1j!$A$4:$H$100,COLUMN(F$1)-3,FALSE),"")</f>
        <v>0.05</v>
      </c>
      <c r="G59" s="137">
        <f>IFERROR(VLOOKUP($B59,Table_1j!$A$4:$H$100,COLUMN(G$1)-3,FALSE),"")</f>
        <v>0.14000000000000001</v>
      </c>
      <c r="H59" s="137">
        <f>IFERROR(VLOOKUP($B59,Table_1j!$A$4:$H$100,COLUMN(H$1)-3,FALSE),"")</f>
        <v>0.03</v>
      </c>
      <c r="I59" s="137">
        <f>IFERROR(VLOOKUP($B59,Table_1j!$A$4:$H$100,COLUMN(I$1)-3,FALSE),"")</f>
        <v>0.08</v>
      </c>
      <c r="J59" s="137">
        <f>IFERROR(VLOOKUP($B59,Table_1j!$A$4:$H$100,COLUMN(J$1)-3,FALSE),"")</f>
        <v>0.05</v>
      </c>
      <c r="K59" s="138">
        <f>IFERROR(VLOOKUP($B59,Table_1j!$A$4:$H$100,COLUMN(K$1)-3,FALSE),"")</f>
        <v>0.11</v>
      </c>
    </row>
    <row r="60" spans="1:11" ht="15.75" thickBot="1">
      <c r="A60" s="48" t="str">
        <f>LEFT(Table_1j!$A$1,8)</f>
        <v>Table 1j</v>
      </c>
      <c r="B60" t="str">
        <f>Table_1i!A6</f>
        <v>April 2022 to March 2023</v>
      </c>
      <c r="C60" s="69" t="s">
        <v>196</v>
      </c>
      <c r="D60" s="69" t="s">
        <v>197</v>
      </c>
      <c r="E60" s="137">
        <f>IFERROR(VLOOKUP($B60,Table_1j!$A$4:$H$100,COLUMN(E$1)-3,FALSE),"")</f>
        <v>0.08</v>
      </c>
      <c r="F60" s="137">
        <f>IFERROR(VLOOKUP($B60,Table_1j!$A$4:$H$100,COLUMN(F$1)-3,FALSE),"")</f>
        <v>0.09</v>
      </c>
      <c r="G60" s="137">
        <f>IFERROR(VLOOKUP($B60,Table_1j!$A$4:$H$100,COLUMN(G$1)-3,FALSE),"")</f>
        <v>0.05</v>
      </c>
      <c r="H60" s="137">
        <f>IFERROR(VLOOKUP($B60,Table_1j!$A$4:$H$100,COLUMN(H$1)-3,FALSE),"")</f>
        <v>0.08</v>
      </c>
      <c r="I60" s="137">
        <f>IFERROR(VLOOKUP($B60,Table_1j!$A$4:$H$100,COLUMN(I$1)-3,FALSE),"")</f>
        <v>0.08</v>
      </c>
      <c r="J60" s="137">
        <f>IFERROR(VLOOKUP($B60,Table_1j!$A$4:$H$100,COLUMN(J$1)-3,FALSE),"")</f>
        <v>0.12</v>
      </c>
      <c r="K60" s="138">
        <f>IFERROR(VLOOKUP($B60,Table_1j!$A$4:$H$100,COLUMN(K$1)-3,FALSE),"")</f>
        <v>0.03</v>
      </c>
    </row>
    <row r="61" spans="1:11">
      <c r="A61" s="46" t="str">
        <f>LEFT(Table_1k!$A$1,8)</f>
        <v>Table 1k</v>
      </c>
      <c r="B61" s="47" t="str">
        <f>Table_1j!A4</f>
        <v xml:space="preserve">April 2020 to March 2021 </v>
      </c>
      <c r="C61" s="70" t="s">
        <v>193</v>
      </c>
      <c r="D61" s="70" t="s">
        <v>198</v>
      </c>
      <c r="E61" s="71" t="str">
        <f>IFERROR(VLOOKUP($B61,Table_1k!$A$4:$H$100,COLUMN(E$1)-3,FALSE),"")</f>
        <v/>
      </c>
      <c r="F61" s="71" t="str">
        <f>IFERROR(VLOOKUP($B61,Table_1k!$A$4:$H$100,COLUMN(F$1)-3,FALSE),"")</f>
        <v/>
      </c>
      <c r="G61" s="71" t="str">
        <f>IFERROR(VLOOKUP($B61,Table_1k!$A$4:$H$100,COLUMN(G$1)-3,FALSE),"")</f>
        <v/>
      </c>
      <c r="H61" s="71" t="str">
        <f>IFERROR(VLOOKUP($B61,Table_1k!$A$4:$H$100,COLUMN(H$1)-3,FALSE),"")</f>
        <v/>
      </c>
      <c r="I61" s="71" t="str">
        <f>IFERROR(VLOOKUP($B61,Table_1k!$A$4:$H$100,COLUMN(I$1)-3,FALSE),"")</f>
        <v/>
      </c>
      <c r="J61" s="71" t="str">
        <f>IFERROR(VLOOKUP($B61,Table_1k!$A$4:$H$100,COLUMN(J$1)-3,FALSE),"")</f>
        <v/>
      </c>
      <c r="K61" s="72" t="str">
        <f>IFERROR(VLOOKUP($B61,Table_1k!$A$4:$H$100,COLUMN(K$1)-3,FALSE),"")</f>
        <v/>
      </c>
    </row>
    <row r="62" spans="1:11">
      <c r="A62" s="48" t="str">
        <f>LEFT(Table_1k!$A$1,8)</f>
        <v>Table 1k</v>
      </c>
      <c r="B62" t="str">
        <f>Table_1j!A5</f>
        <v>April 2021 to March 2022</v>
      </c>
      <c r="C62" s="69" t="s">
        <v>195</v>
      </c>
      <c r="D62" s="69" t="s">
        <v>198</v>
      </c>
      <c r="E62" s="73">
        <f>IFERROR(VLOOKUP($B62,Table_1k!$A$4:$H$100,COLUMN(E$1)-3,FALSE),"")</f>
        <v>89</v>
      </c>
      <c r="F62" s="73">
        <f>IFERROR(VLOOKUP($B62,Table_1k!$A$4:$H$100,COLUMN(F$1)-3,FALSE),"")</f>
        <v>0</v>
      </c>
      <c r="G62" s="73">
        <f>IFERROR(VLOOKUP($B62,Table_1k!$A$4:$H$100,COLUMN(G$1)-3,FALSE),"")</f>
        <v>0</v>
      </c>
      <c r="H62" s="73">
        <f>IFERROR(VLOOKUP($B62,Table_1k!$A$4:$H$100,COLUMN(H$1)-3,FALSE),"")</f>
        <v>0</v>
      </c>
      <c r="I62" s="73">
        <f>IFERROR(VLOOKUP($B62,Table_1k!$A$4:$H$100,COLUMN(I$1)-3,FALSE),"")</f>
        <v>0</v>
      </c>
      <c r="J62" s="73">
        <f>IFERROR(VLOOKUP($B62,Table_1k!$A$4:$H$100,COLUMN(J$1)-3,FALSE),"")</f>
        <v>0</v>
      </c>
      <c r="K62" s="74">
        <f>IFERROR(VLOOKUP($B62,Table_1k!$A$4:$H$100,COLUMN(K$1)-3,FALSE),"")</f>
        <v>0</v>
      </c>
    </row>
    <row r="63" spans="1:11" ht="15.75" thickBot="1">
      <c r="A63" s="67" t="str">
        <f>LEFT(Table_1k!$A$1,8)</f>
        <v>Table 1k</v>
      </c>
      <c r="B63" s="68" t="str">
        <f>Table_1j!A6</f>
        <v>April 2022 to March 2023</v>
      </c>
      <c r="C63" s="69" t="s">
        <v>196</v>
      </c>
      <c r="D63" s="69" t="s">
        <v>198</v>
      </c>
      <c r="E63" s="73">
        <f>IFERROR(VLOOKUP($B63,Table_1k!$A$4:$H$100,COLUMN(E$1)-3,FALSE),"")</f>
        <v>89</v>
      </c>
      <c r="F63" s="73">
        <f>IFERROR(VLOOKUP($B63,Table_1k!$A$4:$H$100,COLUMN(F$1)-3,FALSE),"")</f>
        <v>0</v>
      </c>
      <c r="G63" s="73">
        <f>IFERROR(VLOOKUP($B63,Table_1k!$A$4:$H$100,COLUMN(G$1)-3,FALSE),"")</f>
        <v>0</v>
      </c>
      <c r="H63" s="73">
        <f>IFERROR(VLOOKUP($B63,Table_1k!$A$4:$H$100,COLUMN(H$1)-3,FALSE),"")</f>
        <v>0</v>
      </c>
      <c r="I63" s="73">
        <f>IFERROR(VLOOKUP($B63,Table_1k!$A$4:$H$100,COLUMN(I$1)-3,FALSE),"")</f>
        <v>0</v>
      </c>
      <c r="J63" s="73">
        <f>IFERROR(VLOOKUP($B63,Table_1k!$A$4:$H$100,COLUMN(J$1)-3,FALSE),"")</f>
        <v>0</v>
      </c>
      <c r="K63" s="74">
        <f>IFERROR(VLOOKUP($B63,Table_1k!$A$4:$H$100,COLUMN(K$1)-3,FALSE),"")</f>
        <v>0</v>
      </c>
    </row>
  </sheetData>
  <phoneticPr fontId="168"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C9B5-83FA-4D2E-BBA2-19546E01BCE5}">
  <sheetPr codeName="Sheet2">
    <tabColor rgb="FF253268"/>
  </sheetPr>
  <dimension ref="A1:B10"/>
  <sheetViews>
    <sheetView workbookViewId="0"/>
  </sheetViews>
  <sheetFormatPr defaultRowHeight="15"/>
  <cols>
    <col min="1" max="1" width="31.28515625" bestFit="1" customWidth="1"/>
    <col min="2" max="2" width="100.7109375" customWidth="1"/>
  </cols>
  <sheetData>
    <row r="1" spans="1:2" ht="30" customHeight="1">
      <c r="A1" s="18" t="s">
        <v>35</v>
      </c>
      <c r="B1" s="19"/>
    </row>
    <row r="2" spans="1:2" ht="15.75">
      <c r="A2" s="2" t="s">
        <v>36</v>
      </c>
      <c r="B2" s="20"/>
    </row>
    <row r="3" spans="1:2" ht="15.75">
      <c r="A3" s="21" t="s">
        <v>37</v>
      </c>
      <c r="B3" s="22" t="s">
        <v>38</v>
      </c>
    </row>
    <row r="4" spans="1:2" ht="15.75">
      <c r="A4" s="3" t="s">
        <v>39</v>
      </c>
      <c r="B4" s="1" t="s">
        <v>40</v>
      </c>
    </row>
    <row r="5" spans="1:2" ht="47.25">
      <c r="A5" s="3" t="s">
        <v>41</v>
      </c>
      <c r="B5" s="1" t="s">
        <v>42</v>
      </c>
    </row>
    <row r="6" spans="1:2" ht="31.5">
      <c r="A6" s="3" t="s">
        <v>43</v>
      </c>
      <c r="B6" s="1" t="s">
        <v>44</v>
      </c>
    </row>
    <row r="7" spans="1:2" ht="31.5">
      <c r="A7" s="3" t="s">
        <v>45</v>
      </c>
      <c r="B7" s="1" t="s">
        <v>46</v>
      </c>
    </row>
    <row r="8" spans="1:2" ht="47.25">
      <c r="A8" s="1" t="s">
        <v>47</v>
      </c>
      <c r="B8" s="16" t="s">
        <v>48</v>
      </c>
    </row>
    <row r="9" spans="1:2" ht="47.25">
      <c r="A9" s="1" t="s">
        <v>49</v>
      </c>
      <c r="B9" s="16" t="s">
        <v>50</v>
      </c>
    </row>
    <row r="10" spans="1:2" ht="30">
      <c r="A10" s="1" t="s">
        <v>51</v>
      </c>
      <c r="B10" s="144" t="s">
        <v>52</v>
      </c>
    </row>
  </sheetData>
  <phoneticPr fontId="168"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3">
    <tabColor rgb="FF253268"/>
  </sheetPr>
  <dimension ref="A1:B15"/>
  <sheetViews>
    <sheetView workbookViewId="0"/>
  </sheetViews>
  <sheetFormatPr defaultRowHeight="15"/>
  <cols>
    <col min="1" max="1" width="34" bestFit="1" customWidth="1"/>
    <col min="2" max="2" width="104.85546875" customWidth="1"/>
  </cols>
  <sheetData>
    <row r="1" spans="1:2" ht="30" customHeight="1">
      <c r="A1" s="8" t="s">
        <v>53</v>
      </c>
      <c r="B1" s="1"/>
    </row>
    <row r="2" spans="1:2" ht="15.75">
      <c r="A2" s="13" t="s">
        <v>54</v>
      </c>
      <c r="B2" s="1"/>
    </row>
    <row r="3" spans="1:2" ht="15.75">
      <c r="A3" s="9" t="s">
        <v>55</v>
      </c>
      <c r="B3" s="10" t="s">
        <v>56</v>
      </c>
    </row>
    <row r="4" spans="1:2" ht="15.75">
      <c r="A4" s="125" t="s">
        <v>57</v>
      </c>
      <c r="B4" s="16" t="s">
        <v>58</v>
      </c>
    </row>
    <row r="5" spans="1:2" ht="31.5">
      <c r="A5" s="16" t="s">
        <v>59</v>
      </c>
      <c r="B5" s="126" t="s">
        <v>60</v>
      </c>
    </row>
    <row r="6" spans="1:2" ht="15.75">
      <c r="A6" s="16" t="s">
        <v>61</v>
      </c>
      <c r="B6" s="126" t="s">
        <v>62</v>
      </c>
    </row>
    <row r="7" spans="1:2" ht="47.25">
      <c r="A7" s="16" t="s">
        <v>63</v>
      </c>
      <c r="B7" s="16" t="s">
        <v>64</v>
      </c>
    </row>
    <row r="8" spans="1:2" ht="15.75">
      <c r="A8" s="16" t="s">
        <v>65</v>
      </c>
      <c r="B8" s="126" t="s">
        <v>66</v>
      </c>
    </row>
    <row r="9" spans="1:2" ht="15.75">
      <c r="A9" s="16" t="s">
        <v>67</v>
      </c>
      <c r="B9" s="126" t="s">
        <v>68</v>
      </c>
    </row>
    <row r="10" spans="1:2" ht="15.75">
      <c r="A10" s="16" t="s">
        <v>69</v>
      </c>
      <c r="B10" s="126" t="s">
        <v>70</v>
      </c>
    </row>
    <row r="11" spans="1:2" ht="15.75">
      <c r="A11" s="16" t="s">
        <v>71</v>
      </c>
      <c r="B11" s="126" t="s">
        <v>72</v>
      </c>
    </row>
    <row r="12" spans="1:2" ht="31.5">
      <c r="A12" s="16" t="s">
        <v>73</v>
      </c>
      <c r="B12" s="16" t="s">
        <v>74</v>
      </c>
    </row>
    <row r="13" spans="1:2" ht="31.5">
      <c r="A13" s="16" t="s">
        <v>75</v>
      </c>
      <c r="B13" s="16" t="s">
        <v>76</v>
      </c>
    </row>
    <row r="14" spans="1:2" ht="47.25">
      <c r="A14" s="16" t="s">
        <v>77</v>
      </c>
      <c r="B14" s="16" t="s">
        <v>78</v>
      </c>
    </row>
    <row r="15" spans="1:2" ht="47.25">
      <c r="A15" s="16" t="s">
        <v>79</v>
      </c>
      <c r="B15" s="126" t="s">
        <v>80</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F591-2EC8-44BD-A1F3-887F9790DB97}">
  <sheetPr codeName="Sheet16">
    <tabColor rgb="FF7030A0"/>
    <pageSetUpPr autoPageBreaks="0"/>
  </sheetPr>
  <dimension ref="A1:AC91"/>
  <sheetViews>
    <sheetView tabSelected="1" workbookViewId="0"/>
  </sheetViews>
  <sheetFormatPr defaultColWidth="0" defaultRowHeight="30" customHeight="1" zeroHeight="1"/>
  <cols>
    <col min="1" max="1" width="2" style="85" customWidth="1"/>
    <col min="2" max="10" width="8.7109375" style="85" customWidth="1"/>
    <col min="11" max="11" width="6.85546875" style="85" customWidth="1"/>
    <col min="12" max="12" width="11.5703125" style="85" customWidth="1"/>
    <col min="13" max="16" width="8.7109375" style="85" customWidth="1"/>
    <col min="17" max="17" width="17.85546875" style="85" customWidth="1"/>
    <col min="18" max="18" width="10.140625" style="85" customWidth="1"/>
    <col min="19" max="19" width="5" style="85" customWidth="1"/>
    <col min="20" max="20" width="4.140625" style="85" customWidth="1"/>
    <col min="21" max="26" width="8.7109375" style="85" customWidth="1"/>
    <col min="27" max="27" width="8.42578125" style="85" customWidth="1"/>
    <col min="28" max="28" width="8.7109375" style="85" customWidth="1"/>
    <col min="29" max="29" width="1" style="85" customWidth="1"/>
    <col min="30" max="16384" width="8.7109375" style="85" hidden="1"/>
  </cols>
  <sheetData>
    <row r="1" spans="2:27" ht="11.25" customHeight="1"/>
    <row r="2" spans="2:27" ht="42.75">
      <c r="B2" s="107" t="s">
        <v>81</v>
      </c>
      <c r="C2" s="107"/>
      <c r="D2" s="107"/>
      <c r="E2" s="107"/>
      <c r="F2" s="107"/>
      <c r="G2" s="107"/>
      <c r="H2" s="106"/>
    </row>
    <row r="3" spans="2:27" ht="42.75">
      <c r="B3" s="107" t="s">
        <v>82</v>
      </c>
      <c r="C3" s="107"/>
      <c r="D3" s="107"/>
      <c r="E3" s="107"/>
      <c r="F3" s="107"/>
      <c r="G3" s="107"/>
      <c r="H3" s="106"/>
      <c r="I3" s="106"/>
      <c r="J3" s="106"/>
      <c r="K3" s="106"/>
      <c r="L3" s="106"/>
    </row>
    <row r="4" spans="2:27" ht="15">
      <c r="B4" s="105"/>
      <c r="C4" s="105"/>
      <c r="D4" s="105"/>
      <c r="E4" s="105"/>
      <c r="F4" s="105"/>
      <c r="G4" s="105"/>
      <c r="H4" s="105"/>
    </row>
    <row r="5" spans="2:27" ht="30" customHeight="1">
      <c r="B5" s="104" t="s">
        <v>83</v>
      </c>
      <c r="C5" s="104"/>
      <c r="D5" s="104"/>
      <c r="E5" s="104"/>
      <c r="F5" s="104"/>
      <c r="G5" s="104"/>
      <c r="H5" s="103"/>
    </row>
    <row r="6" spans="2:27" ht="15">
      <c r="B6" s="147" t="s">
        <v>84</v>
      </c>
      <c r="C6" s="147"/>
      <c r="D6" s="147"/>
      <c r="E6" s="147"/>
      <c r="F6" s="147"/>
      <c r="G6" s="147"/>
      <c r="H6" s="147"/>
      <c r="I6" s="147"/>
      <c r="J6" s="147"/>
      <c r="K6" s="147"/>
      <c r="L6" s="147"/>
      <c r="M6" s="147"/>
      <c r="N6" s="147"/>
      <c r="O6" s="147"/>
      <c r="P6" s="147"/>
      <c r="Q6" s="147"/>
      <c r="R6" s="147"/>
      <c r="S6" s="147"/>
      <c r="T6" s="147"/>
      <c r="U6" s="147"/>
      <c r="V6" s="147"/>
      <c r="W6" s="147"/>
      <c r="X6" s="147"/>
      <c r="Y6" s="147"/>
      <c r="Z6" s="147"/>
      <c r="AA6" s="147"/>
    </row>
    <row r="7" spans="2:27" ht="15">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row>
    <row r="8" spans="2:27" ht="19.899999999999999" customHeight="1">
      <c r="B8" s="100" t="s">
        <v>85</v>
      </c>
      <c r="C8" s="100"/>
      <c r="D8" s="100"/>
      <c r="E8" s="100"/>
      <c r="F8" s="100"/>
      <c r="G8" s="100"/>
      <c r="H8" s="102"/>
      <c r="S8" s="101"/>
      <c r="U8" s="100" t="str">
        <f>workings!A28&amp; "(hold ctrl/command to select multiple years)"</f>
        <v>Calendar year (hold ctrl/command to select multiple years)</v>
      </c>
      <c r="W8" s="99"/>
    </row>
    <row r="9" spans="2:27" ht="30" customHeight="1"/>
    <row r="10" spans="2:27" ht="30" customHeight="1">
      <c r="L10" s="96" t="str">
        <f>workings!A29</f>
        <v>Fewest casualties (2021)</v>
      </c>
      <c r="M10" s="95"/>
      <c r="N10" s="95"/>
      <c r="O10" s="95"/>
      <c r="P10" s="94"/>
      <c r="Q10" s="98" t="str">
        <f>workings!B68</f>
        <v/>
      </c>
      <c r="R10" s="95"/>
    </row>
    <row r="11" spans="2:27" ht="30" customHeight="1">
      <c r="L11" s="96"/>
      <c r="M11" s="95"/>
      <c r="N11" s="95"/>
      <c r="O11" s="95"/>
      <c r="P11" s="95"/>
      <c r="Q11" s="97"/>
      <c r="R11" s="95"/>
    </row>
    <row r="12" spans="2:27" ht="30" customHeight="1">
      <c r="L12" s="96" t="str">
        <f>workings!A30</f>
        <v>Most casualties (2021)</v>
      </c>
      <c r="M12" s="95"/>
      <c r="N12" s="95"/>
      <c r="O12" s="95"/>
      <c r="P12" s="94"/>
      <c r="Q12" s="93" t="str">
        <f>workings!B69</f>
        <v/>
      </c>
    </row>
    <row r="13" spans="2:27" ht="30" customHeight="1">
      <c r="L13" s="145" t="str">
        <f>workings!A71</f>
        <v>Note: data only available at a national level</v>
      </c>
      <c r="M13" s="145"/>
      <c r="N13" s="145"/>
      <c r="O13" s="145"/>
      <c r="P13" s="145"/>
      <c r="Q13" s="145"/>
      <c r="R13" s="145"/>
      <c r="S13" s="145"/>
    </row>
    <row r="14" spans="2:27" ht="30" customHeight="1">
      <c r="L14" s="145"/>
      <c r="M14" s="145"/>
      <c r="N14" s="145"/>
      <c r="O14" s="145"/>
      <c r="P14" s="145"/>
      <c r="Q14" s="145"/>
      <c r="R14" s="145"/>
      <c r="S14" s="145"/>
    </row>
    <row r="15" spans="2:27" ht="15"/>
    <row r="16" spans="2:27" ht="15.75">
      <c r="L16" s="146" t="str">
        <f>workings!A23</f>
        <v>The number of people killed or seriously injured (KPI).</v>
      </c>
      <c r="M16" s="146"/>
      <c r="N16" s="146"/>
      <c r="O16" s="146"/>
      <c r="P16" s="146"/>
      <c r="Q16" s="146"/>
      <c r="R16" s="146"/>
      <c r="S16" s="146"/>
      <c r="T16" s="146"/>
      <c r="U16" s="146"/>
      <c r="V16" s="146"/>
      <c r="W16" s="146"/>
      <c r="X16" s="146"/>
      <c r="Y16" s="146"/>
      <c r="Z16" s="146"/>
      <c r="AA16" s="146"/>
    </row>
    <row r="17" spans="12:27" ht="15">
      <c r="L17" s="92" t="str">
        <f>workings!A24</f>
        <v>National-level target for road period 2:  A reduction in the number of KSI (adjusted figures) of at least 50% by the end of 2025 compared to 2005-09.</v>
      </c>
      <c r="M17" s="91"/>
      <c r="N17" s="91"/>
      <c r="O17" s="91"/>
      <c r="P17" s="91"/>
      <c r="Q17" s="91"/>
      <c r="R17" s="91"/>
      <c r="S17" s="91"/>
      <c r="T17" s="91"/>
      <c r="U17" s="91"/>
      <c r="V17" s="91"/>
      <c r="W17" s="91"/>
      <c r="X17" s="91"/>
      <c r="Y17" s="91"/>
      <c r="Z17" s="91"/>
    </row>
    <row r="18" spans="12:27" ht="15">
      <c r="L18" s="90" t="str">
        <f>workings!A27</f>
        <v>Measure: Number (See Notes 1, 2 &amp; 3)</v>
      </c>
      <c r="M18" s="89"/>
      <c r="N18" s="88"/>
      <c r="O18" s="88"/>
      <c r="P18" s="88"/>
      <c r="Q18" s="88"/>
      <c r="R18" s="88"/>
      <c r="S18" s="88"/>
      <c r="T18" s="87"/>
      <c r="U18" s="87"/>
      <c r="V18" s="87"/>
      <c r="W18" s="87"/>
      <c r="X18" s="87"/>
      <c r="Y18" s="87"/>
      <c r="Z18" s="87"/>
      <c r="AA18" s="86"/>
    </row>
    <row r="19" spans="12:27" ht="15"/>
    <row r="20" spans="12:27" ht="15"/>
    <row r="21" spans="12:27" ht="15"/>
    <row r="22" spans="12:27" ht="15"/>
    <row r="23" spans="12:27" ht="15"/>
    <row r="24" spans="12:27" ht="15"/>
    <row r="25" spans="12:27" ht="15"/>
    <row r="26" spans="12:27" ht="15"/>
    <row r="27" spans="12:27" ht="15"/>
    <row r="28" spans="12:27" ht="15"/>
    <row r="29" spans="12:27" ht="15"/>
    <row r="30" spans="12:27" ht="15"/>
    <row r="31" spans="12:27" ht="15"/>
    <row r="32" spans="12:27" ht="15"/>
    <row r="33" ht="15"/>
    <row r="34" ht="15"/>
    <row r="35" ht="15"/>
    <row r="36" ht="15"/>
    <row r="37" ht="15"/>
    <row r="38" ht="15"/>
    <row r="39" ht="15"/>
    <row r="40" ht="15"/>
    <row r="41" ht="15"/>
    <row r="42" ht="15"/>
    <row r="43" ht="15"/>
    <row r="44" ht="15"/>
    <row r="45" ht="15"/>
    <row r="46" ht="15"/>
    <row r="47" ht="15"/>
    <row r="48"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sheetData>
  <sheetProtection selectLockedCells="1" pivotTables="0"/>
  <mergeCells count="3">
    <mergeCell ref="L13:S14"/>
    <mergeCell ref="L16:AA16"/>
    <mergeCell ref="B6:AA7"/>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I13"/>
  <sheetViews>
    <sheetView workbookViewId="0">
      <selection activeCell="B20" sqref="B20"/>
    </sheetView>
  </sheetViews>
  <sheetFormatPr defaultColWidth="9" defaultRowHeight="15"/>
  <cols>
    <col min="1" max="1" width="56.85546875" customWidth="1"/>
    <col min="2" max="2" width="20.5703125" style="7" customWidth="1"/>
    <col min="3" max="3" width="14" style="7" customWidth="1"/>
    <col min="4" max="4" width="22.7109375" style="7" customWidth="1"/>
    <col min="5" max="9" width="18.5703125" style="7" customWidth="1"/>
  </cols>
  <sheetData>
    <row r="1" spans="1:2" customFormat="1" ht="30" customHeight="1">
      <c r="A1" s="118" t="s">
        <v>86</v>
      </c>
      <c r="B1" s="7"/>
    </row>
    <row r="2" spans="1:2" customFormat="1" ht="20.100000000000001" customHeight="1">
      <c r="A2" s="39" t="s">
        <v>54</v>
      </c>
      <c r="B2" s="113"/>
    </row>
    <row r="3" spans="1:2" s="25" customFormat="1" ht="20.100000000000001" customHeight="1">
      <c r="A3" s="52" t="s">
        <v>87</v>
      </c>
      <c r="B3" s="52"/>
    </row>
    <row r="4" spans="1:2" customFormat="1" ht="20.100000000000001" customHeight="1">
      <c r="A4" s="51" t="s">
        <v>88</v>
      </c>
      <c r="B4" s="7"/>
    </row>
    <row r="5" spans="1:2" customFormat="1" ht="20.25" customHeight="1">
      <c r="A5" s="15" t="s">
        <v>89</v>
      </c>
      <c r="B5" s="6"/>
    </row>
    <row r="6" spans="1:2" s="5" customFormat="1" ht="50.1" customHeight="1">
      <c r="A6" s="4" t="s">
        <v>90</v>
      </c>
      <c r="B6" s="12" t="s">
        <v>91</v>
      </c>
    </row>
    <row r="7" spans="1:2" customFormat="1" ht="20.100000000000001" customHeight="1">
      <c r="A7" s="36" t="s">
        <v>92</v>
      </c>
      <c r="B7" s="41">
        <v>2328</v>
      </c>
    </row>
    <row r="8" spans="1:2" customFormat="1" ht="20.100000000000001" customHeight="1">
      <c r="A8" s="36" t="s">
        <v>93</v>
      </c>
      <c r="B8" s="41">
        <v>2263</v>
      </c>
    </row>
    <row r="9" spans="1:2" customFormat="1" ht="20.100000000000001" customHeight="1">
      <c r="A9" s="36" t="s">
        <v>94</v>
      </c>
      <c r="B9" s="41">
        <v>2072</v>
      </c>
    </row>
    <row r="10" spans="1:2" customFormat="1" ht="20.100000000000001" customHeight="1">
      <c r="A10" s="36" t="s">
        <v>95</v>
      </c>
      <c r="B10" s="41">
        <v>2178</v>
      </c>
    </row>
    <row r="11" spans="1:2" customFormat="1" ht="20.100000000000001" customHeight="1" thickBot="1">
      <c r="A11" s="37" t="s">
        <v>96</v>
      </c>
      <c r="B11" s="114">
        <v>2060</v>
      </c>
    </row>
    <row r="12" spans="1:2" customFormat="1" ht="20.100000000000001" customHeight="1" thickTop="1">
      <c r="A12" s="36" t="s">
        <v>97</v>
      </c>
      <c r="B12" s="41">
        <v>1397</v>
      </c>
    </row>
    <row r="13" spans="1:2" customFormat="1" ht="20.100000000000001" customHeight="1">
      <c r="A13" s="133" t="s">
        <v>98</v>
      </c>
      <c r="B13" s="143">
        <v>1857</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1"/>
  <sheetViews>
    <sheetView workbookViewId="0"/>
  </sheetViews>
  <sheetFormatPr defaultColWidth="9" defaultRowHeight="15"/>
  <cols>
    <col min="1" max="1" width="50.5703125" customWidth="1"/>
    <col min="2" max="2" width="20.5703125" style="7" customWidth="1"/>
    <col min="3" max="8" width="18.5703125" style="7" customWidth="1"/>
  </cols>
  <sheetData>
    <row r="1" spans="1:8" ht="30" customHeight="1">
      <c r="A1" s="118" t="s">
        <v>99</v>
      </c>
    </row>
    <row r="2" spans="1:8" s="50" customFormat="1" ht="20.100000000000001" customHeight="1">
      <c r="A2" s="24" t="s">
        <v>54</v>
      </c>
    </row>
    <row r="3" spans="1:8" s="120" customFormat="1" ht="20.100000000000001" customHeight="1">
      <c r="A3" s="52" t="s">
        <v>87</v>
      </c>
      <c r="B3" s="119"/>
      <c r="C3" s="119"/>
      <c r="D3" s="119"/>
    </row>
    <row r="4" spans="1:8" s="5" customFormat="1" ht="50.25" customHeight="1">
      <c r="A4" s="4" t="s">
        <v>90</v>
      </c>
      <c r="B4" s="53" t="s">
        <v>91</v>
      </c>
      <c r="C4" s="12" t="s">
        <v>100</v>
      </c>
      <c r="D4" s="12" t="s">
        <v>101</v>
      </c>
      <c r="E4" s="12" t="s">
        <v>102</v>
      </c>
      <c r="F4" s="12" t="s">
        <v>103</v>
      </c>
      <c r="G4" s="12" t="s">
        <v>104</v>
      </c>
      <c r="H4" s="12" t="s">
        <v>105</v>
      </c>
    </row>
    <row r="5" spans="1:8" s="5" customFormat="1" ht="20.25" customHeight="1">
      <c r="A5" s="36" t="s">
        <v>92</v>
      </c>
      <c r="B5" s="55">
        <v>16375</v>
      </c>
      <c r="C5" s="115" t="s">
        <v>106</v>
      </c>
      <c r="D5" s="115" t="s">
        <v>106</v>
      </c>
      <c r="E5" s="115" t="s">
        <v>106</v>
      </c>
      <c r="F5" s="115" t="s">
        <v>106</v>
      </c>
      <c r="G5" s="115" t="s">
        <v>106</v>
      </c>
      <c r="H5" s="115" t="s">
        <v>106</v>
      </c>
    </row>
    <row r="6" spans="1:8" s="5" customFormat="1" ht="20.25" customHeight="1">
      <c r="A6" s="36" t="s">
        <v>93</v>
      </c>
      <c r="B6" s="55">
        <v>16233</v>
      </c>
      <c r="C6" s="115" t="s">
        <v>106</v>
      </c>
      <c r="D6" s="115" t="s">
        <v>106</v>
      </c>
      <c r="E6" s="115" t="s">
        <v>106</v>
      </c>
      <c r="F6" s="115" t="s">
        <v>106</v>
      </c>
      <c r="G6" s="115" t="s">
        <v>106</v>
      </c>
      <c r="H6" s="115" t="s">
        <v>106</v>
      </c>
    </row>
    <row r="7" spans="1:8" s="5" customFormat="1" ht="20.25" customHeight="1">
      <c r="A7" s="36" t="s">
        <v>94</v>
      </c>
      <c r="B7" s="55">
        <v>14225</v>
      </c>
      <c r="C7" s="115" t="s">
        <v>106</v>
      </c>
      <c r="D7" s="115" t="s">
        <v>106</v>
      </c>
      <c r="E7" s="115" t="s">
        <v>106</v>
      </c>
      <c r="F7" s="115" t="s">
        <v>106</v>
      </c>
      <c r="G7" s="115" t="s">
        <v>106</v>
      </c>
      <c r="H7" s="115" t="s">
        <v>106</v>
      </c>
    </row>
    <row r="8" spans="1:8" s="5" customFormat="1" ht="20.25" customHeight="1">
      <c r="A8" s="36" t="s">
        <v>95</v>
      </c>
      <c r="B8" s="55">
        <v>13380</v>
      </c>
      <c r="C8" s="115" t="s">
        <v>106</v>
      </c>
      <c r="D8" s="115" t="s">
        <v>106</v>
      </c>
      <c r="E8" s="115" t="s">
        <v>106</v>
      </c>
      <c r="F8" s="115" t="s">
        <v>106</v>
      </c>
      <c r="G8" s="115" t="s">
        <v>106</v>
      </c>
      <c r="H8" s="115" t="s">
        <v>106</v>
      </c>
    </row>
    <row r="9" spans="1:8" s="5" customFormat="1" ht="20.25" customHeight="1" thickBot="1">
      <c r="A9" s="37" t="s">
        <v>96</v>
      </c>
      <c r="B9" s="56">
        <v>12347</v>
      </c>
      <c r="C9" s="114">
        <v>1647</v>
      </c>
      <c r="D9" s="114">
        <v>1580</v>
      </c>
      <c r="E9" s="114">
        <v>1915</v>
      </c>
      <c r="F9" s="114">
        <v>2036</v>
      </c>
      <c r="G9" s="114">
        <v>3919</v>
      </c>
      <c r="H9" s="114">
        <v>1250</v>
      </c>
    </row>
    <row r="10" spans="1:8" ht="20.25" customHeight="1" thickTop="1">
      <c r="A10" s="36" t="s">
        <v>97</v>
      </c>
      <c r="B10" s="55">
        <v>7873</v>
      </c>
      <c r="C10" s="41">
        <v>965</v>
      </c>
      <c r="D10" s="41">
        <v>944</v>
      </c>
      <c r="E10" s="41">
        <v>1316</v>
      </c>
      <c r="F10" s="41">
        <v>1284</v>
      </c>
      <c r="G10" s="41">
        <v>2598</v>
      </c>
      <c r="H10" s="41">
        <v>766</v>
      </c>
    </row>
    <row r="11" spans="1:8" s="5" customFormat="1" ht="20.25" customHeight="1">
      <c r="A11" s="36" t="s">
        <v>107</v>
      </c>
      <c r="B11" s="55">
        <v>9819</v>
      </c>
      <c r="C11" s="41">
        <v>1322</v>
      </c>
      <c r="D11" s="41">
        <v>1268</v>
      </c>
      <c r="E11" s="41">
        <v>1743</v>
      </c>
      <c r="F11" s="41">
        <v>1457</v>
      </c>
      <c r="G11" s="41">
        <v>3016</v>
      </c>
      <c r="H11" s="41">
        <v>1013</v>
      </c>
    </row>
  </sheetData>
  <phoneticPr fontId="168"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11"/>
  <sheetViews>
    <sheetView workbookViewId="0"/>
  </sheetViews>
  <sheetFormatPr defaultRowHeight="15"/>
  <cols>
    <col min="1" max="1" width="50.5703125" customWidth="1"/>
    <col min="2" max="2" width="20.5703125" customWidth="1"/>
    <col min="3" max="8" width="18.5703125" customWidth="1"/>
  </cols>
  <sheetData>
    <row r="1" spans="1:8" ht="30" customHeight="1">
      <c r="A1" s="118" t="s">
        <v>108</v>
      </c>
      <c r="B1" s="118"/>
      <c r="C1" s="118"/>
      <c r="D1" s="118"/>
      <c r="E1" s="118"/>
      <c r="F1" s="118"/>
      <c r="G1" s="118"/>
      <c r="H1" s="118"/>
    </row>
    <row r="2" spans="1:8" s="50" customFormat="1" ht="20.100000000000001" customHeight="1">
      <c r="A2" s="24" t="s">
        <v>54</v>
      </c>
      <c r="B2" s="24"/>
      <c r="C2" s="24"/>
      <c r="D2" s="24"/>
      <c r="E2" s="24"/>
      <c r="F2" s="24"/>
      <c r="G2" s="24"/>
      <c r="H2" s="24"/>
    </row>
    <row r="3" spans="1:8" s="50" customFormat="1" ht="20.100000000000001" customHeight="1">
      <c r="A3" s="52" t="s">
        <v>87</v>
      </c>
      <c r="B3" s="24"/>
      <c r="C3" s="24"/>
      <c r="D3" s="24"/>
      <c r="E3" s="24"/>
      <c r="F3" s="24"/>
      <c r="G3" s="24"/>
      <c r="H3" s="24"/>
    </row>
    <row r="4" spans="1:8" ht="50.25" customHeight="1">
      <c r="A4" s="4" t="s">
        <v>90</v>
      </c>
      <c r="B4" s="53" t="s">
        <v>91</v>
      </c>
      <c r="C4" s="12" t="s">
        <v>100</v>
      </c>
      <c r="D4" s="12" t="s">
        <v>101</v>
      </c>
      <c r="E4" s="12" t="s">
        <v>102</v>
      </c>
      <c r="F4" s="12" t="s">
        <v>103</v>
      </c>
      <c r="G4" s="12" t="s">
        <v>104</v>
      </c>
      <c r="H4" s="12" t="s">
        <v>105</v>
      </c>
    </row>
    <row r="5" spans="1:8" s="4" customFormat="1" ht="20.25" customHeight="1">
      <c r="A5" s="36" t="s">
        <v>92</v>
      </c>
      <c r="B5" s="127">
        <v>1160</v>
      </c>
      <c r="C5" s="115" t="s">
        <v>106</v>
      </c>
      <c r="D5" s="115" t="s">
        <v>106</v>
      </c>
      <c r="E5" s="115" t="s">
        <v>106</v>
      </c>
      <c r="F5" s="115" t="s">
        <v>106</v>
      </c>
      <c r="G5" s="115" t="s">
        <v>106</v>
      </c>
      <c r="H5" s="115" t="s">
        <v>106</v>
      </c>
    </row>
    <row r="6" spans="1:8" s="4" customFormat="1" ht="20.25" customHeight="1">
      <c r="A6" s="36" t="s">
        <v>93</v>
      </c>
      <c r="B6" s="55">
        <v>1170</v>
      </c>
      <c r="C6" s="115" t="s">
        <v>106</v>
      </c>
      <c r="D6" s="115" t="s">
        <v>106</v>
      </c>
      <c r="E6" s="115" t="s">
        <v>106</v>
      </c>
      <c r="F6" s="115" t="s">
        <v>106</v>
      </c>
      <c r="G6" s="115" t="s">
        <v>106</v>
      </c>
      <c r="H6" s="115" t="s">
        <v>106</v>
      </c>
    </row>
    <row r="7" spans="1:8" s="4" customFormat="1" ht="20.25" customHeight="1">
      <c r="A7" s="36" t="s">
        <v>94</v>
      </c>
      <c r="B7" s="55">
        <v>1050</v>
      </c>
      <c r="C7" s="115" t="s">
        <v>106</v>
      </c>
      <c r="D7" s="115" t="s">
        <v>106</v>
      </c>
      <c r="E7" s="115" t="s">
        <v>106</v>
      </c>
      <c r="F7" s="115" t="s">
        <v>106</v>
      </c>
      <c r="G7" s="115" t="s">
        <v>106</v>
      </c>
      <c r="H7" s="115" t="s">
        <v>106</v>
      </c>
    </row>
    <row r="8" spans="1:8" s="4" customFormat="1" ht="20.25" customHeight="1">
      <c r="A8" s="36" t="s">
        <v>95</v>
      </c>
      <c r="B8" s="55">
        <v>1036</v>
      </c>
      <c r="C8" s="115" t="s">
        <v>106</v>
      </c>
      <c r="D8" s="115" t="s">
        <v>106</v>
      </c>
      <c r="E8" s="115" t="s">
        <v>106</v>
      </c>
      <c r="F8" s="115" t="s">
        <v>106</v>
      </c>
      <c r="G8" s="115" t="s">
        <v>106</v>
      </c>
      <c r="H8" s="115" t="s">
        <v>106</v>
      </c>
    </row>
    <row r="9" spans="1:8" s="4" customFormat="1" ht="20.25" customHeight="1" thickBot="1">
      <c r="A9" s="37" t="s">
        <v>96</v>
      </c>
      <c r="B9" s="55">
        <v>962</v>
      </c>
      <c r="C9" s="41">
        <v>118</v>
      </c>
      <c r="D9" s="41">
        <v>78</v>
      </c>
      <c r="E9" s="41">
        <v>192</v>
      </c>
      <c r="F9" s="41">
        <v>128</v>
      </c>
      <c r="G9" s="41">
        <v>333</v>
      </c>
      <c r="H9" s="41">
        <v>113</v>
      </c>
    </row>
    <row r="10" spans="1:8" s="4" customFormat="1" ht="20.25" customHeight="1" thickTop="1">
      <c r="A10" s="36" t="s">
        <v>97</v>
      </c>
      <c r="B10" s="54">
        <v>605</v>
      </c>
      <c r="C10" s="116">
        <v>74</v>
      </c>
      <c r="D10" s="116">
        <v>57</v>
      </c>
      <c r="E10" s="116">
        <v>103</v>
      </c>
      <c r="F10" s="116">
        <v>91</v>
      </c>
      <c r="G10" s="116">
        <v>196</v>
      </c>
      <c r="H10" s="116">
        <v>84</v>
      </c>
    </row>
    <row r="11" spans="1:8" s="4" customFormat="1" ht="20.25" customHeight="1">
      <c r="A11" s="36" t="s">
        <v>107</v>
      </c>
      <c r="B11" s="55">
        <v>803</v>
      </c>
      <c r="C11" s="115">
        <v>73</v>
      </c>
      <c r="D11" s="115">
        <v>68</v>
      </c>
      <c r="E11" s="115">
        <v>156</v>
      </c>
      <c r="F11" s="115">
        <v>142</v>
      </c>
      <c r="G11" s="115">
        <v>252</v>
      </c>
      <c r="H11" s="115">
        <v>112</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1942-7A46-4872-B2A9-4131622BB09A}">
  <sheetPr codeName="Sheet7">
    <tabColor rgb="FF253268"/>
  </sheetPr>
  <dimension ref="A1:B11"/>
  <sheetViews>
    <sheetView workbookViewId="0"/>
  </sheetViews>
  <sheetFormatPr defaultRowHeight="15"/>
  <cols>
    <col min="1" max="1" width="50.5703125" customWidth="1"/>
    <col min="2" max="2" width="20.5703125" customWidth="1"/>
    <col min="3" max="8" width="16.5703125" customWidth="1"/>
  </cols>
  <sheetData>
    <row r="1" spans="1:2" ht="30" customHeight="1">
      <c r="A1" s="117" t="s">
        <v>109</v>
      </c>
      <c r="B1" s="7"/>
    </row>
    <row r="2" spans="1:2" ht="20.100000000000001" customHeight="1">
      <c r="A2" s="24" t="s">
        <v>54</v>
      </c>
      <c r="B2" s="7"/>
    </row>
    <row r="3" spans="1:2" ht="20.100000000000001" customHeight="1">
      <c r="A3" s="52" t="s">
        <v>87</v>
      </c>
      <c r="B3" s="14"/>
    </row>
    <row r="4" spans="1:2" ht="50.25" customHeight="1">
      <c r="A4" s="4" t="s">
        <v>90</v>
      </c>
      <c r="B4" s="12" t="s">
        <v>91</v>
      </c>
    </row>
    <row r="5" spans="1:2" ht="20.25" customHeight="1">
      <c r="A5" s="36" t="s">
        <v>92</v>
      </c>
      <c r="B5" s="128">
        <v>849</v>
      </c>
    </row>
    <row r="6" spans="1:2" ht="20.25" customHeight="1">
      <c r="A6" s="36" t="s">
        <v>93</v>
      </c>
      <c r="B6" s="128">
        <v>864</v>
      </c>
    </row>
    <row r="7" spans="1:2" ht="20.45" customHeight="1">
      <c r="A7" s="36" t="s">
        <v>94</v>
      </c>
      <c r="B7" s="128">
        <v>760</v>
      </c>
    </row>
    <row r="8" spans="1:2" ht="20.25" customHeight="1">
      <c r="A8" s="36" t="s">
        <v>95</v>
      </c>
      <c r="B8" s="128">
        <v>785</v>
      </c>
    </row>
    <row r="9" spans="1:2" ht="20.25" customHeight="1" thickBot="1">
      <c r="A9" s="37" t="s">
        <v>96</v>
      </c>
      <c r="B9" s="129">
        <v>694</v>
      </c>
    </row>
    <row r="10" spans="1:2" ht="20.25" customHeight="1" thickTop="1">
      <c r="A10" s="36" t="s">
        <v>97</v>
      </c>
      <c r="B10" s="128">
        <v>404</v>
      </c>
    </row>
    <row r="11" spans="1:2" ht="20.45" customHeight="1">
      <c r="A11" s="36" t="s">
        <v>107</v>
      </c>
      <c r="B11" s="128">
        <v>547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6C10-F28B-483E-844B-4CBC34BA1EA7}">
  <sheetPr codeName="Sheet8">
    <tabColor rgb="FF253268"/>
  </sheetPr>
  <dimension ref="A1:B11"/>
  <sheetViews>
    <sheetView workbookViewId="0"/>
  </sheetViews>
  <sheetFormatPr defaultRowHeight="15"/>
  <cols>
    <col min="1" max="1" width="50.5703125" customWidth="1"/>
    <col min="2" max="2" width="20.5703125" customWidth="1"/>
    <col min="3" max="8" width="16.5703125" customWidth="1"/>
  </cols>
  <sheetData>
    <row r="1" spans="1:2" ht="30" customHeight="1">
      <c r="A1" s="117" t="s">
        <v>110</v>
      </c>
      <c r="B1" s="7"/>
    </row>
    <row r="2" spans="1:2" ht="20.100000000000001" customHeight="1">
      <c r="A2" s="24" t="s">
        <v>54</v>
      </c>
      <c r="B2" s="7"/>
    </row>
    <row r="3" spans="1:2" s="25" customFormat="1" ht="20.100000000000001" customHeight="1">
      <c r="A3" s="52" t="s">
        <v>87</v>
      </c>
      <c r="B3" s="14"/>
    </row>
    <row r="4" spans="1:2" ht="50.25" customHeight="1">
      <c r="A4" s="4" t="s">
        <v>90</v>
      </c>
      <c r="B4" s="12" t="s">
        <v>91</v>
      </c>
    </row>
    <row r="5" spans="1:2" ht="20.100000000000001" customHeight="1">
      <c r="A5" s="36" t="s">
        <v>92</v>
      </c>
      <c r="B5" s="43">
        <v>153</v>
      </c>
    </row>
    <row r="6" spans="1:2" ht="20.100000000000001" customHeight="1">
      <c r="A6" s="36" t="s">
        <v>93</v>
      </c>
      <c r="B6" s="43">
        <v>152</v>
      </c>
    </row>
    <row r="7" spans="1:2" ht="20.100000000000001" customHeight="1">
      <c r="A7" s="36" t="s">
        <v>94</v>
      </c>
      <c r="B7" s="43">
        <v>137</v>
      </c>
    </row>
    <row r="8" spans="1:2" ht="20.100000000000001" customHeight="1">
      <c r="A8" s="36" t="s">
        <v>95</v>
      </c>
      <c r="B8" s="43">
        <v>103</v>
      </c>
    </row>
    <row r="9" spans="1:2" ht="20.100000000000001" customHeight="1" thickBot="1">
      <c r="A9" s="37" t="s">
        <v>96</v>
      </c>
      <c r="B9" s="44">
        <v>112</v>
      </c>
    </row>
    <row r="10" spans="1:2" ht="20.100000000000001" customHeight="1" thickTop="1">
      <c r="A10" s="36" t="s">
        <v>97</v>
      </c>
      <c r="B10" s="42">
        <v>99</v>
      </c>
    </row>
    <row r="11" spans="1:2" ht="20.45" customHeight="1">
      <c r="A11" s="36" t="s">
        <v>107</v>
      </c>
      <c r="B11" s="43">
        <v>113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Notes</vt:lpstr>
      <vt:lpstr>Table_of_contents</vt:lpstr>
      <vt:lpstr>Dashboard</vt:lpstr>
      <vt:lpstr>Table_1a</vt:lpstr>
      <vt:lpstr>Table_1b</vt:lpstr>
      <vt:lpstr>Table_1c</vt:lpstr>
      <vt:lpstr>Table_1d</vt:lpstr>
      <vt:lpstr>Table_1e</vt:lpstr>
      <vt:lpstr>Table_1f</vt:lpstr>
      <vt:lpstr>Table_1g</vt:lpstr>
      <vt:lpstr>Table_1h</vt:lpstr>
      <vt:lpstr>Table_1i</vt:lpstr>
      <vt:lpstr>Table_1j</vt:lpstr>
      <vt:lpstr>Table_1k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Angeriz-Santos, Paula</cp:lastModifiedBy>
  <cp:revision/>
  <dcterms:created xsi:type="dcterms:W3CDTF">2021-11-15T13:31:27Z</dcterms:created>
  <dcterms:modified xsi:type="dcterms:W3CDTF">2023-11-14T13:50:21Z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