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hidePivotFieldList="1" defaultThemeVersion="166925"/>
  <mc:AlternateContent xmlns:mc="http://schemas.openxmlformats.org/markup-compatibility/2006">
    <mc:Choice Requires="x15">
      <x15ac:absPath xmlns:x15ac="http://schemas.microsoft.com/office/spreadsheetml/2010/11/ac" url="https://offrailroad.sharepoint.com/sites/IGP-Highways/Shared Documents/Financial monitoring/Benchmarking/Analysis/Top-down regional/Data Hub/Data tables 2022-23/Final Data Tables/"/>
    </mc:Choice>
  </mc:AlternateContent>
  <xr:revisionPtr revIDLastSave="825" documentId="13_ncr:1_{4B534219-C7C3-424E-9366-70CD039B47E9}" xr6:coauthVersionLast="47" xr6:coauthVersionMax="47" xr10:uidLastSave="{C107C363-21E6-41B2-8B20-D62032F3C2D0}"/>
  <workbookProtection workbookAlgorithmName="SHA-512" workbookHashValue="w1VHhMM9sUF/fJaa8YRU3LLFCSESU/V1HuWLInL2nLpRnltlDpwPusGrE+TZUbYr2Domj0fKM6pOEhzCRXzWMw==" workbookSaltValue="HEdsNDTBCnE6fxoCsPB2JQ==" workbookSpinCount="100000" lockStructure="1"/>
  <bookViews>
    <workbookView xWindow="-98" yWindow="-98" windowWidth="20715" windowHeight="13276" tabRatio="813" firstSheet="3" activeTab="3" xr2:uid="{024D1EB9-BD75-4922-9F22-4AFD8F6AF6F3}"/>
  </bookViews>
  <sheets>
    <sheet name="Cover_sheet" sheetId="4" r:id="rId1"/>
    <sheet name="Notes " sheetId="5" r:id="rId2"/>
    <sheet name="Table_of_contents" sheetId="12" r:id="rId3"/>
    <sheet name="Dashboard " sheetId="18" r:id="rId4"/>
    <sheet name="Table_3a" sheetId="6" r:id="rId5"/>
    <sheet name="Table_3b" sheetId="7" r:id="rId6"/>
    <sheet name="Table_3c" sheetId="8" r:id="rId7"/>
    <sheet name="Table_3d" sheetId="9" r:id="rId8"/>
    <sheet name="Table_3e" sheetId="13" r:id="rId9"/>
    <sheet name="data" sheetId="14" state="veryHidden" r:id="rId10"/>
    <sheet name="workings" sheetId="17" state="veryHidden" r:id="rId11"/>
  </sheets>
  <definedNames>
    <definedName name="Slicer_KPI_PI">#N/A</definedName>
    <definedName name="Slicer_Year1">#N/A</definedName>
  </definedNames>
  <calcPr calcId="191028"/>
  <pivotCaches>
    <pivotCache cacheId="14" r:id="rId12"/>
  </pivotCaches>
  <extLst>
    <ext xmlns:x14="http://schemas.microsoft.com/office/spreadsheetml/2009/9/main" uri="{BBE1A952-AA13-448e-AADC-164F8A28A991}">
      <x14:slicerCaches>
        <x14:slicerCache r:id="rId13"/>
        <x14:slicerCache r:id="rId1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4" i="17" l="1"/>
  <c r="H58" i="17"/>
  <c r="E62" i="17" s="1"/>
  <c r="I62" i="17" s="1"/>
  <c r="A58" i="17"/>
  <c r="A26" i="17"/>
  <c r="D23" i="14" l="1"/>
  <c r="E23" i="14"/>
  <c r="F23" i="14"/>
  <c r="G23" i="14"/>
  <c r="H23" i="14"/>
  <c r="I23" i="14"/>
  <c r="J23" i="14"/>
  <c r="D20" i="14"/>
  <c r="D17" i="14"/>
  <c r="E17" i="14"/>
  <c r="F17" i="14"/>
  <c r="G17" i="14"/>
  <c r="H17" i="14"/>
  <c r="I17" i="14"/>
  <c r="J17" i="14"/>
  <c r="D9" i="14"/>
  <c r="E9" i="14"/>
  <c r="F9" i="14"/>
  <c r="G9" i="14"/>
  <c r="H9" i="14"/>
  <c r="I9" i="14"/>
  <c r="J9" i="14"/>
  <c r="B26" i="14"/>
  <c r="B23" i="14"/>
  <c r="B20" i="14"/>
  <c r="B17" i="14"/>
  <c r="B9" i="14"/>
  <c r="B10" i="14"/>
  <c r="B11" i="14"/>
  <c r="B12" i="14"/>
  <c r="B13" i="14"/>
  <c r="B14" i="14"/>
  <c r="A23" i="17" l="1"/>
  <c r="A24" i="17"/>
  <c r="E15" i="14"/>
  <c r="F15" i="14"/>
  <c r="G15" i="14"/>
  <c r="H15" i="14"/>
  <c r="I15" i="14"/>
  <c r="J15" i="14"/>
  <c r="E16" i="14"/>
  <c r="F16" i="14"/>
  <c r="G16" i="14"/>
  <c r="H16" i="14"/>
  <c r="I16" i="14"/>
  <c r="J16" i="14"/>
  <c r="D16" i="14"/>
  <c r="D15" i="14"/>
  <c r="A25" i="17" l="1"/>
  <c r="A18" i="14" l="1"/>
  <c r="D18" i="14" s="1"/>
  <c r="G18" i="18"/>
  <c r="G17" i="18"/>
  <c r="G19" i="18"/>
  <c r="B24" i="14" l="1"/>
  <c r="B25" i="14"/>
  <c r="E22" i="14"/>
  <c r="F22" i="14"/>
  <c r="G22" i="14"/>
  <c r="H22" i="14"/>
  <c r="I22" i="14"/>
  <c r="J22" i="14"/>
  <c r="J21" i="14"/>
  <c r="I21" i="14"/>
  <c r="H21" i="14"/>
  <c r="G21" i="14"/>
  <c r="F21" i="14"/>
  <c r="E21" i="14"/>
  <c r="D21" i="14"/>
  <c r="D22" i="14"/>
  <c r="B21" i="14"/>
  <c r="B22" i="14"/>
  <c r="D19" i="14"/>
  <c r="B18" i="14"/>
  <c r="B19" i="14"/>
  <c r="B15" i="14"/>
  <c r="B16" i="14"/>
  <c r="G3" i="14"/>
  <c r="H3" i="14"/>
  <c r="I3" i="14"/>
  <c r="J3" i="14"/>
  <c r="G4" i="14"/>
  <c r="H4" i="14"/>
  <c r="I4" i="14"/>
  <c r="J4" i="14"/>
  <c r="G5" i="14"/>
  <c r="H5" i="14"/>
  <c r="I5" i="14"/>
  <c r="J5" i="14"/>
  <c r="G6" i="14"/>
  <c r="H6" i="14"/>
  <c r="I6" i="14"/>
  <c r="J6" i="14"/>
  <c r="G7" i="14"/>
  <c r="H7" i="14"/>
  <c r="I7" i="14"/>
  <c r="J7" i="14"/>
  <c r="G8" i="14"/>
  <c r="H8" i="14"/>
  <c r="I8" i="14"/>
  <c r="J8" i="14"/>
  <c r="J2" i="14"/>
  <c r="I2" i="14"/>
  <c r="H2" i="14"/>
  <c r="G2" i="14"/>
  <c r="F2" i="14"/>
  <c r="F3" i="14"/>
  <c r="F4" i="14"/>
  <c r="F5" i="14"/>
  <c r="F6" i="14"/>
  <c r="F7" i="14"/>
  <c r="F8" i="14"/>
  <c r="E2" i="14"/>
  <c r="E3" i="14"/>
  <c r="E4" i="14"/>
  <c r="E5" i="14"/>
  <c r="E6" i="14"/>
  <c r="E7" i="14"/>
  <c r="E8" i="14"/>
  <c r="D2" i="14"/>
  <c r="D3" i="14"/>
  <c r="D4" i="14"/>
  <c r="D5" i="14"/>
  <c r="D6" i="14"/>
  <c r="D7" i="14"/>
  <c r="D8" i="14"/>
  <c r="B8" i="14"/>
  <c r="B7" i="14"/>
  <c r="B6" i="14"/>
  <c r="B5" i="14"/>
  <c r="B4" i="14"/>
  <c r="B3" i="14"/>
  <c r="B2" i="14"/>
  <c r="G10" i="18" l="1"/>
  <c r="B58" i="17"/>
  <c r="D58" i="17"/>
  <c r="G12" i="18"/>
  <c r="E58" i="17"/>
  <c r="F58" i="17"/>
  <c r="G58" i="17"/>
  <c r="C58" i="17"/>
  <c r="B62" i="17" l="1"/>
  <c r="B65" i="17" s="1"/>
  <c r="B61" i="17"/>
  <c r="B67" i="17" l="1"/>
  <c r="D64" i="17"/>
  <c r="D65" i="17"/>
  <c r="B68" i="17"/>
  <c r="L12" i="18" s="1"/>
  <c r="E61" i="17"/>
  <c r="I61" i="17" s="1"/>
  <c r="K61" i="17" s="1"/>
  <c r="L10" i="18" l="1"/>
  <c r="K62" i="17"/>
  <c r="F62" i="17"/>
  <c r="F61" i="17"/>
  <c r="A70" i="17" l="1"/>
  <c r="G13" i="18" s="1"/>
</calcChain>
</file>

<file path=xl/sharedStrings.xml><?xml version="1.0" encoding="utf-8"?>
<sst xmlns="http://schemas.openxmlformats.org/spreadsheetml/2006/main" count="294" uniqueCount="129">
  <si>
    <t>Table 3: A well maintained and resilient network, England, April 2015 to March 2023.</t>
  </si>
  <si>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t>
    </r>
    <r>
      <rPr>
        <sz val="12"/>
        <rFont val="Calibri"/>
        <family val="2"/>
      </rPr>
      <t>its</t>
    </r>
    <r>
      <rPr>
        <sz val="12"/>
        <color rgb="FF000000"/>
        <rFont val="Calibri"/>
        <family val="2"/>
      </rPr>
      <t xml:space="preserve">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PS3: A well maintained and resilient network. The KPIs under this theme are:
</t>
    </r>
    <r>
      <rPr>
        <b/>
        <sz val="12"/>
        <color rgb="FF000000"/>
        <rFont val="Calibri"/>
        <family val="2"/>
      </rPr>
      <t xml:space="preserve">KPI: Pavement condition (National-level target for road period 2: Percentage of the network (as defined by HAPMS, excluding DBFOs) in good condition at 96.2% or above at the end of each year.)
</t>
    </r>
    <r>
      <rPr>
        <sz val="12"/>
        <color rgb="FF000000"/>
        <rFont val="Calibri"/>
        <family val="2"/>
      </rPr>
      <t xml:space="preserve">
The PIs under this theme are:
</t>
    </r>
    <r>
      <rPr>
        <b/>
        <sz val="12"/>
        <color rgb="FF000000"/>
        <rFont val="Calibri"/>
        <family val="2"/>
      </rPr>
      <t xml:space="preserve">PI: Structures condition 
PI: Technology availability 
PI: Drainage resilience 
PI: Geotechnical condition </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</si>
  <si>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</si>
  <si>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</si>
  <si>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</si>
  <si>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</si>
  <si>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</si>
  <si>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</si>
  <si>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</si>
  <si>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</si>
  <si>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</si>
  <si>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</si>
  <si>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</si>
  <si>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</si>
  <si>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</si>
  <si>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</si>
  <si>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</si>
  <si>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 xml:space="preserve">Regional data for the period before 2020-21 was provided directly to ORR by National Highways. </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</si>
  <si>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</si>
  <si>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</si>
  <si>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</si>
  <si>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</si>
  <si>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</si>
  <si>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</si>
  <si>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</si>
  <si>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 xml:space="preserve"> August 2023</t>
    </r>
  </si>
  <si>
    <r>
      <t>The next publication date is scheduled for</t>
    </r>
    <r>
      <rPr>
        <b/>
        <sz val="12"/>
        <color rgb="FF000000"/>
        <rFont val="Calibri"/>
        <family val="2"/>
      </rPr>
      <t xml:space="preserve"> August 2024</t>
    </r>
  </si>
  <si>
    <t>Contact details</t>
  </si>
  <si>
    <t xml:space="preserve">highways.monitor@orr.gov.uk </t>
  </si>
  <si>
    <t xml:space="preserve">Media enquiries: 020 7282 2094  </t>
  </si>
  <si>
    <r>
      <rPr>
        <sz val="12"/>
        <color rgb="FF000000"/>
        <rFont val="Calibri"/>
        <family val="2"/>
      </rPr>
      <t xml:space="preserve">Contact: </t>
    </r>
    <r>
      <rPr>
        <b/>
        <sz val="12"/>
        <color rgb="FF000000"/>
        <rFont val="Calibri"/>
        <family val="2"/>
      </rPr>
      <t>T. Vilona</t>
    </r>
  </si>
  <si>
    <t xml:space="preserve">Notes </t>
  </si>
  <si>
    <t xml:space="preserve">This worksheet contain one table. </t>
  </si>
  <si>
    <t xml:space="preserve">Note number </t>
  </si>
  <si>
    <t xml:space="preserve">Note text </t>
  </si>
  <si>
    <t>Note 1</t>
  </si>
  <si>
    <t>Excludes roads operated and maintaned via Design, Build, Finance and Operate (DBFO) arrangements (except for drainage resilience - see note 5)</t>
  </si>
  <si>
    <t>Note 2</t>
  </si>
  <si>
    <t>Pavement condition KPI - change in methodology introduced in 2022-23.</t>
  </si>
  <si>
    <t>Note 3</t>
  </si>
  <si>
    <t>Structures condition PI - privately owned structures are not included.</t>
  </si>
  <si>
    <t>Note 4</t>
  </si>
  <si>
    <t xml:space="preserve">Technology availability PI - This metric is a new metric for road period 2. Metric covers all roadside technology assets on all trunk roads and motorways forming the strategic road network including sections of the M25 managed by DBFO organisations. This metric does not include the Regional Control Centres or National Road Telecommunications Services. </t>
  </si>
  <si>
    <t>Note 5</t>
  </si>
  <si>
    <t>Drainage resilience PI - Coverage includes all trunk roads and motorways forming the strategic road network except DBFO contracts but including the M25.</t>
  </si>
  <si>
    <t>Table of contents</t>
  </si>
  <si>
    <t>This worksheet contains one table.</t>
  </si>
  <si>
    <t>Worksheet name</t>
  </si>
  <si>
    <t>Worksheet title</t>
  </si>
  <si>
    <t>Dashboard</t>
  </si>
  <si>
    <r>
      <rPr>
        <sz val="12"/>
        <color rgb="FF000000"/>
        <rFont val="Calibri"/>
        <family val="2"/>
      </rPr>
      <t xml:space="preserve">Interactive dashboard for outcome area: </t>
    </r>
    <r>
      <rPr>
        <b/>
        <sz val="12"/>
        <color rgb="FF000000"/>
        <rFont val="Calibri"/>
        <family val="2"/>
      </rPr>
      <t>A well maintained and resilient network</t>
    </r>
    <r>
      <rPr>
        <sz val="12"/>
        <color rgb="FF000000"/>
        <rFont val="Calibri"/>
        <family val="2"/>
      </rPr>
      <t>.</t>
    </r>
  </si>
  <si>
    <t>Table_3a</t>
  </si>
  <si>
    <r>
      <t>Pavement condition:</t>
    </r>
    <r>
      <rPr>
        <sz val="12"/>
        <color rgb="FF000000"/>
        <rFont val="Calibri"/>
        <family val="2"/>
      </rPr>
      <t xml:space="preserve"> The percentage of the pavement asset in good condition. This measure reports on the overall strategic road network condition as a result of deterioration of the pavement network due to time and traffic and restoration of condition from the annual investment in maintenance.</t>
    </r>
  </si>
  <si>
    <t>Table_3b</t>
  </si>
  <si>
    <r>
      <t xml:space="preserve">Structures condition: </t>
    </r>
    <r>
      <rPr>
        <sz val="12"/>
        <color rgb="FF000000"/>
        <rFont val="Calibri"/>
        <family val="2"/>
      </rPr>
      <t>Average condition score/critical condition score - % of structures rated 'good' in opinion of inspector.</t>
    </r>
    <r>
      <rPr>
        <b/>
        <sz val="12"/>
        <color rgb="FF000000"/>
        <rFont val="Calibri"/>
        <family val="2"/>
      </rPr>
      <t xml:space="preserve"> </t>
    </r>
    <r>
      <rPr>
        <sz val="12"/>
        <color rgb="FF000000"/>
        <rFont val="Calibri"/>
        <family val="2"/>
      </rPr>
      <t>The metric follows the Structural Condition Index (SCI).</t>
    </r>
  </si>
  <si>
    <t>Table_3c</t>
  </si>
  <si>
    <r>
      <t xml:space="preserve">Technology availability: </t>
    </r>
    <r>
      <rPr>
        <sz val="12"/>
        <color rgb="FF000000"/>
        <rFont val="Calibri"/>
        <family val="2"/>
      </rPr>
      <t>the percentage of time that roadside technology assets are available and functioning.</t>
    </r>
  </si>
  <si>
    <t>Table_3d</t>
  </si>
  <si>
    <r>
      <t xml:space="preserve">Drainage resilience: </t>
    </r>
    <r>
      <rPr>
        <sz val="12"/>
        <color rgb="FF000000"/>
        <rFont val="Calibri"/>
        <family val="2"/>
      </rPr>
      <t>the percentage length of carriageway that does not have an observed significant susceptibility to flooding.</t>
    </r>
  </si>
  <si>
    <t>Table_3e</t>
  </si>
  <si>
    <r>
      <t xml:space="preserve">Geotechnical condition: </t>
    </r>
    <r>
      <rPr>
        <sz val="12"/>
        <color rgb="FF000000"/>
        <rFont val="Calibri"/>
        <family val="2"/>
      </rPr>
      <t>the percentage length of the National Highways' geotechnical asset that is in good condition based on the ability of the asset to perform its function at the time of inspection.</t>
    </r>
  </si>
  <si>
    <t xml:space="preserve">A well maintained and resilient network, </t>
  </si>
  <si>
    <t>Strategic Road Network in England</t>
  </si>
  <si>
    <t>See how National Highways’ performance is changing over time and across its regions.</t>
  </si>
  <si>
    <t xml:space="preserve">A road period spans five years. The first road period (road period 1) commenced in April 2015 and ended in March 2020. The second road period (road period 2) commenced in April 2020 and is due to end in March 2025. </t>
  </si>
  <si>
    <t xml:space="preserve">KPIs and PIs </t>
  </si>
  <si>
    <r>
      <t xml:space="preserve">Financial year </t>
    </r>
    <r>
      <rPr>
        <sz val="10"/>
        <color rgb="FF333333"/>
        <rFont val="Arial"/>
        <family val="2"/>
      </rPr>
      <t>(hold ctrl/command to select multiple years)</t>
    </r>
  </si>
  <si>
    <t>Table 3a: Pavement condition, England, annual data, April 2015 to March 2023 [Note 1]</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</si>
  <si>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</si>
  <si>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r>
      <rPr>
        <b/>
        <sz val="12"/>
        <color rgb="FFEA0000"/>
        <rFont val="Calibri"/>
        <family val="2"/>
      </rPr>
      <t>National-level target for road period 2</t>
    </r>
    <r>
      <rPr>
        <sz val="12"/>
        <color rgb="FFEA0000"/>
        <rFont val="Calibri"/>
        <family val="2"/>
      </rPr>
      <t>: Percentage of the network (as defined by HAPMS, excluding DBFOs) in good condition at 96.2% or above at the end of each year.</t>
    </r>
  </si>
  <si>
    <t>Time period</t>
  </si>
  <si>
    <t>National Highways (percentage)</t>
  </si>
  <si>
    <t>Yorkshire and North East
(percentage)</t>
  </si>
  <si>
    <t>North West
(percentage)</t>
  </si>
  <si>
    <t>Midlands
(percentage)</t>
  </si>
  <si>
    <t>East
(percentage)</t>
  </si>
  <si>
    <t>South East
(percentage)</t>
  </si>
  <si>
    <t>South West
(percentage)</t>
  </si>
  <si>
    <t>April 2015 to March 2016</t>
  </si>
  <si>
    <t>April 2016 to March 2017</t>
  </si>
  <si>
    <t>April 2017 to March 2018</t>
  </si>
  <si>
    <t>April 2018 to March 2019</t>
  </si>
  <si>
    <t>April 2019 to March 2020</t>
  </si>
  <si>
    <t xml:space="preserve">April 2020 to March 2021 </t>
  </si>
  <si>
    <t xml:space="preserve">April 2021 to March 2022 </t>
  </si>
  <si>
    <t>April 2022 to March 2023 [Note 2]</t>
  </si>
  <si>
    <t>Table 3b: Structures condition, England, annual data, April 2015 to March 2023 [Note 3]</t>
  </si>
  <si>
    <t>[x]</t>
  </si>
  <si>
    <t>April 2020 to March 2021</t>
  </si>
  <si>
    <t>April 2021 to March 2022</t>
  </si>
  <si>
    <t>April 2022 to March 2023</t>
  </si>
  <si>
    <t>Table 3c: Technology availability, England, annual data, April 2020 to March 2023 [Note 4]</t>
  </si>
  <si>
    <t>Table 3d: Drainage resilience, England, annual data, April 2020 to March 2023 [Note 1][Note 5]</t>
  </si>
  <si>
    <t>April 2020 to March 2021 [Note 6]</t>
  </si>
  <si>
    <t>Table 3e: Geotechnical condition, England, annual data, April 2020 to March 2023 [Note 1]</t>
  </si>
  <si>
    <t>Period</t>
  </si>
  <si>
    <t>Year</t>
  </si>
  <si>
    <t>KPI/PI</t>
  </si>
  <si>
    <t>National Highways</t>
  </si>
  <si>
    <t>Yorkshire and North East</t>
  </si>
  <si>
    <t xml:space="preserve">North West
</t>
  </si>
  <si>
    <t xml:space="preserve">Midlands
</t>
  </si>
  <si>
    <t xml:space="preserve">East
</t>
  </si>
  <si>
    <t xml:space="preserve">South East
</t>
  </si>
  <si>
    <t xml:space="preserve">South West
</t>
  </si>
  <si>
    <t>Pavement condition</t>
  </si>
  <si>
    <t>Structures condition</t>
  </si>
  <si>
    <t>Technology availability</t>
  </si>
  <si>
    <t>Drainage resilience</t>
  </si>
  <si>
    <t>Geotechnical condition</t>
  </si>
  <si>
    <t>CHARTS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</si>
  <si>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</si>
  <si>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</si>
  <si>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</si>
  <si>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</si>
  <si>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</si>
  <si>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</si>
  <si>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</si>
  <si>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2020-21</t>
  </si>
  <si>
    <t>2021-22</t>
  </si>
  <si>
    <t>2022-23</t>
  </si>
  <si>
    <t>Notes</t>
  </si>
  <si>
    <t>Row Labels</t>
  </si>
  <si>
    <t>Latest year</t>
  </si>
  <si>
    <t>max</t>
  </si>
  <si>
    <t>Absolute value</t>
  </si>
  <si>
    <t>min</t>
  </si>
  <si>
    <t>Best performing</t>
  </si>
  <si>
    <t>Worst performing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</si>
</sst>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200">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name val="Calibri"/>
      <family val="2"/>
    </font>
    <font>
      <sz val="8"/>
      <name val="Calibri"/>
      <family val="2"/>
    </font>
    <font>
      <b/>
      <sz val="14"/>
      <name val="Calibri"/>
      <family val="2"/>
    </font>
    <font>
      <sz val="12"/>
      <color rgb="FF000000"/>
      <name val="Calibri"/>
      <family val="2"/>
      <scheme val="minor"/>
    </font>
    <font>
      <b/>
      <sz val="12"/>
      <name val="Calibri"/>
      <family val="2"/>
    </font>
    <font>
      <sz val="12"/>
      <color rgb="FF333333"/>
      <name val="Georgia"/>
      <family val="1"/>
    </font>
    <font>
      <sz val="11"/>
      <color rgb="FF000000"/>
      <name val="Georgia"/>
      <family val="1"/>
    </font>
    <font>
      <sz val="11"/>
      <color rgb="FF2941C5"/>
      <name val="Georgia Pro Black"/>
      <family val="1"/>
    </font>
    <font>
      <sz val="11"/>
      <color rgb="FF253268"/>
      <name val="Georgia Pro Black"/>
      <family val="1"/>
    </font>
    <font>
      <sz val="11"/>
      <color rgb="FF253268"/>
      <name val="Arial"/>
      <family val="2"/>
    </font>
    <font>
      <b/>
      <sz val="11"/>
      <color rgb="FF253268"/>
      <name val="Arial"/>
      <family val="2"/>
    </font>
    <font>
      <b/>
      <sz val="12"/>
      <color rgb="FF000000"/>
      <name val="Arial"/>
      <family val="2"/>
    </font>
    <font>
      <sz val="12"/>
      <color rgb="FF000000"/>
      <name val="Arial"/>
      <family val="2"/>
    </font>
    <font>
      <sz val="13"/>
      <color rgb="FF333333"/>
      <name val="Arial"/>
      <family val="2"/>
    </font>
    <font>
      <sz val="10"/>
      <color rgb="FF333333"/>
      <name val="Arial"/>
      <family val="2"/>
    </font>
    <font>
      <sz val="13"/>
      <color rgb="FF333333"/>
      <name val="Georgia"/>
      <family val="1"/>
    </font>
    <font>
      <sz val="15"/>
      <color rgb="FF000000"/>
      <name val="Georgia"/>
      <family val="1"/>
    </font>
    <font>
      <sz val="15"/>
      <color rgb="FF000000"/>
      <name val="Arial"/>
      <family val="2"/>
    </font>
    <font>
      <sz val="28"/>
      <color rgb="FF000000"/>
      <name val="Georgia Pro Black"/>
      <family val="1"/>
    </font>
    <font>
      <sz val="28"/>
      <color rgb="FF000000"/>
      <name val="Arial Black"/>
      <family val="2"/>
    </font>
    <font>
      <b/>
      <sz val="10"/>
      <color theme="0"/>
      <name val="Calibri"/>
      <family val="2"/>
    </font>
    <font>
      <b/>
      <sz val="12"/>
      <color theme="1"/>
      <name val="Calibri"/>
      <family val="2"/>
    </font>
    <font>
      <b/>
      <sz val="11"/>
      <color rgb="FF000000"/>
      <name val="Calibri"/>
      <family val="2"/>
    </font>
    <font>
      <b/>
      <u/>
      <sz val="12"/>
      <name val="Arial"/>
      <family val="2"/>
    </font>
    <font>
      <b/>
      <u/>
      <sz val="13"/>
      <name val="Georgia"/>
      <family val="1"/>
    </font>
    <font>
      <sz val="13"/>
      <name val="Georgia"/>
      <family val="1"/>
    </font>
    <font>
      <sz val="12"/>
      <name val="Georgia"/>
      <family val="1"/>
    </font>
    <font>
      <sz val="11"/>
      <name val="Calibri"/>
      <family val="2"/>
    </font>
    <font>
      <b/>
      <sz val="11"/>
      <name val="Calibri"/>
      <family val="2"/>
    </font>
    <font>
      <sz val="12"/>
      <color rgb="FFEA0000"/>
      <name val="Calibri"/>
      <family val="2"/>
    </font>
    <font>
      <b/>
      <sz val="12"/>
      <color rgb="FFEA0000"/>
      <name val="Calibri"/>
      <family val="2"/>
    </font>
    <font>
      <sz val="12"/>
      <color theme="1"/>
      <name val="Calibri"/>
      <family val="2"/>
    </font>
    <font>
      <b/>
      <sz val="12"/>
      <color rgb="FFFF0000"/>
      <name val="Calibri"/>
      <family val="2"/>
    </font>
    <font>
      <sz val="12"/>
      <name val="Arial"/>
      <family val="2"/>
    </font>
    <font>
      <b/>
      <sz val="11"/>
      <color theme="1"/>
      <name val="Calibri"/>
      <family val="2"/>
    </font>
    <font>
      <sz val="11"/>
      <color rgb="FFFF0000"/>
      <name val="Calibri"/>
      <family val="2"/>
    </font>
  </fonts>
  <fills count="11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
      <patternFill patternType="solid">
        <fgColor rgb="FFFFFF00"/>
        <bgColor indexed="64"/>
      </patternFill>
    </fill>
  </fills>
  <borders count="68">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style="thick">
        <color indexed="64"/>
      </right>
      <top/>
      <bottom/>
      <diagonal/>
    </border>
    <border>
      <left/>
      <right style="thick">
        <color indexed="64"/>
      </right>
      <top/>
      <bottom style="thick">
        <color indexed="64"/>
      </bottom>
      <diagonal/>
    </border>
    <border>
      <left/>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ck">
        <color indexed="64"/>
      </left>
      <right/>
      <top/>
      <bottom style="thick">
        <color indexed="64"/>
      </bottom>
      <diagonal/>
    </border>
    <border>
      <left/>
      <right/>
      <top/>
      <bottom style="thin">
        <color theme="4" tint="0.39997558519241921"/>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43" fontId="1" fillId="0" borderId="0" applyFont="0" applyFill="0" applyBorder="0" applyAlignment="0" applyProtection="0"/>
    <xf numFmtId="0" fontId="1" fillId="0" borderId="0"/>
    <xf numFmtId="0" fontId="17" fillId="0" borderId="0"/>
    <xf numFmtId="44" fontId="1"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5" fontId="19" fillId="0" borderId="0" applyFont="0" applyFill="0" applyBorder="0" applyProtection="0">
      <alignment horizontal="right"/>
    </xf>
    <xf numFmtId="165"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67" fontId="19" fillId="0" borderId="0" applyFont="0" applyFill="0" applyBorder="0" applyProtection="0">
      <alignment horizontal="right"/>
    </xf>
    <xf numFmtId="167"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78" fontId="19" fillId="0" borderId="0" applyBorder="0"/>
    <xf numFmtId="0" fontId="39" fillId="51" borderId="12" applyNumberFormat="0" applyAlignment="0" applyProtection="0"/>
    <xf numFmtId="0" fontId="40" fillId="52" borderId="13" applyNumberFormat="0" applyAlignment="0" applyProtection="0"/>
    <xf numFmtId="167" fontId="21" fillId="0" borderId="0" applyFont="0" applyFill="0" applyBorder="0" applyProtection="0">
      <alignment horizontal="right"/>
    </xf>
    <xf numFmtId="169" fontId="21" fillId="0" borderId="0" applyFont="0" applyFill="0" applyBorder="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3" fillId="0" borderId="14" applyNumberFormat="0" applyBorder="0" applyAlignment="0" applyProtection="0">
      <alignment horizontal="right" vertical="center"/>
    </xf>
    <xf numFmtId="179"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0" fontId="56" fillId="0" borderId="0" applyNumberFormat="0" applyFill="0" applyAlignment="0" applyProtection="0"/>
    <xf numFmtId="0" fontId="45" fillId="0" borderId="18" applyNumberFormat="0" applyFill="0" applyAlignment="0" applyProtection="0"/>
    <xf numFmtId="170" fontId="57" fillId="0" borderId="0" applyNumberFormat="0" applyFill="0" applyAlignment="0" applyProtection="0"/>
    <xf numFmtId="0" fontId="45" fillId="0" borderId="0" applyNumberFormat="0" applyFill="0" applyBorder="0" applyAlignment="0" applyProtection="0"/>
    <xf numFmtId="170" fontId="58" fillId="0" borderId="0" applyNumberFormat="0" applyFill="0" applyAlignment="0" applyProtection="0"/>
    <xf numFmtId="170" fontId="26" fillId="0" borderId="0" applyNumberFormat="0" applyFill="0" applyAlignment="0" applyProtection="0"/>
    <xf numFmtId="170" fontId="27" fillId="0" borderId="0" applyNumberFormat="0" applyFill="0" applyAlignment="0" applyProtection="0"/>
    <xf numFmtId="170" fontId="27" fillId="0" borderId="0" applyNumberFormat="0" applyFont="0" applyFill="0" applyBorder="0" applyAlignment="0" applyProtection="0"/>
    <xf numFmtId="170"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1" fontId="19" fillId="0" borderId="0" applyFont="0" applyFill="0" applyBorder="0" applyProtection="0">
      <alignment horizontal="right"/>
    </xf>
    <xf numFmtId="171"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2" fontId="14" fillId="0" borderId="0">
      <alignment wrapText="1"/>
      <protection locked="0"/>
    </xf>
    <xf numFmtId="172" fontId="14" fillId="0"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14" fillId="0" borderId="0">
      <alignment wrapText="1"/>
      <protection locked="0"/>
    </xf>
    <xf numFmtId="173" fontId="14" fillId="0" borderId="0">
      <alignment wrapText="1"/>
      <protection locked="0"/>
    </xf>
    <xf numFmtId="173" fontId="14" fillId="0" borderId="0">
      <alignment wrapText="1"/>
      <protection locked="0"/>
    </xf>
    <xf numFmtId="173" fontId="14" fillId="0"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14" fillId="0" borderId="0">
      <alignment wrapText="1"/>
      <protection locked="0"/>
    </xf>
    <xf numFmtId="174" fontId="14" fillId="0" borderId="0">
      <alignment wrapText="1"/>
      <protection locked="0"/>
    </xf>
    <xf numFmtId="174" fontId="14" fillId="0"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14" fillId="0" borderId="0">
      <alignment wrapText="1"/>
      <protection locked="0"/>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2" fontId="19" fillId="0" borderId="0" applyNumberFormat="0" applyFont="0" applyBorder="0" applyAlignment="0">
      <alignment horizontal="right" indent="1"/>
    </xf>
    <xf numFmtId="182"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5" fontId="19" fillId="0" borderId="0">
      <protection locked="0"/>
    </xf>
    <xf numFmtId="195" fontId="19" fillId="0" borderId="33">
      <protection locked="0"/>
    </xf>
    <xf numFmtId="10" fontId="19" fillId="57" borderId="9">
      <alignment horizontal="right"/>
    </xf>
    <xf numFmtId="183" fontId="19" fillId="57" borderId="0"/>
    <xf numFmtId="182" fontId="19" fillId="0" borderId="10"/>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0" fontId="79" fillId="53" borderId="9" applyAlignment="0"/>
    <xf numFmtId="182" fontId="80" fillId="64" borderId="0"/>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3"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4" fontId="19" fillId="0" borderId="0">
      <alignment horizontal="right" indent="1"/>
    </xf>
    <xf numFmtId="0" fontId="77" fillId="0" borderId="0" applyNumberFormat="0" applyFill="0" applyBorder="0" applyAlignment="0" applyProtection="0"/>
    <xf numFmtId="183" fontId="79" fillId="82" borderId="9">
      <alignment horizontal="center"/>
    </xf>
    <xf numFmtId="184" fontId="81" fillId="82" borderId="9"/>
    <xf numFmtId="187"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4"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3" fontId="19" fillId="60" borderId="9">
      <protection locked="0"/>
    </xf>
    <xf numFmtId="0" fontId="91" fillId="0" borderId="0">
      <alignment horizontal="left"/>
    </xf>
    <xf numFmtId="188" fontId="19" fillId="80" borderId="9"/>
    <xf numFmtId="0" fontId="58" fillId="0" borderId="0">
      <alignment horizontal="left" indent="1"/>
    </xf>
    <xf numFmtId="0" fontId="58" fillId="0" borderId="0">
      <alignment horizontal="left" indent="1"/>
    </xf>
    <xf numFmtId="0" fontId="58" fillId="0" borderId="0">
      <alignment horizontal="left" indent="1"/>
    </xf>
    <xf numFmtId="184" fontId="82" fillId="58" borderId="9"/>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6" fontId="19" fillId="0" borderId="0">
      <alignment horizontal="right" indent="1"/>
    </xf>
    <xf numFmtId="4" fontId="19" fillId="0" borderId="0">
      <alignment horizontal="right" indent="1"/>
    </xf>
    <xf numFmtId="182" fontId="19" fillId="0" borderId="0">
      <alignment horizontal="right" indent="1"/>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2" fontId="92" fillId="57" borderId="38" applyNumberFormat="0">
      <alignment vertical="center"/>
    </xf>
    <xf numFmtId="192" fontId="92" fillId="84" borderId="38" applyNumberFormat="0">
      <alignment vertical="center"/>
    </xf>
    <xf numFmtId="192" fontId="92" fillId="82" borderId="38" applyNumberFormat="0">
      <alignment vertical="center"/>
    </xf>
    <xf numFmtId="192" fontId="92" fillId="80" borderId="38" applyNumberFormat="0">
      <alignment vertical="center"/>
    </xf>
    <xf numFmtId="192" fontId="92" fillId="62" borderId="38" applyNumberFormat="0">
      <alignment vertical="center"/>
    </xf>
    <xf numFmtId="192" fontId="92" fillId="53" borderId="38" applyNumberFormat="0">
      <alignment vertical="center"/>
    </xf>
    <xf numFmtId="192" fontId="92" fillId="65" borderId="38" applyNumberFormat="0">
      <alignment vertical="center"/>
    </xf>
    <xf numFmtId="192" fontId="92" fillId="85" borderId="38" applyNumberFormat="0">
      <alignment vertical="center"/>
    </xf>
    <xf numFmtId="192" fontId="92" fillId="69" borderId="38" applyNumberFormat="0">
      <alignment vertical="center"/>
    </xf>
    <xf numFmtId="192" fontId="92" fillId="86" borderId="38" applyNumberFormat="0">
      <alignment vertical="center"/>
    </xf>
    <xf numFmtId="192" fontId="93" fillId="60" borderId="38">
      <protection locked="0"/>
    </xf>
    <xf numFmtId="192" fontId="93" fillId="58" borderId="38">
      <protection locked="0"/>
    </xf>
    <xf numFmtId="192" fontId="94" fillId="58" borderId="39" applyNumberFormat="0" applyFont="0" applyFill="0" applyAlignment="0" applyProtection="0">
      <protection locked="0"/>
    </xf>
    <xf numFmtId="192" fontId="35" fillId="0" borderId="0" applyNumberFormat="0" applyFill="0">
      <alignment horizontal="left" vertical="top"/>
    </xf>
    <xf numFmtId="192" fontId="35" fillId="0" borderId="0" applyNumberFormat="0" applyFill="0">
      <alignment horizontal="left" vertical="top"/>
    </xf>
    <xf numFmtId="192"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0" fontId="19" fillId="57" borderId="0">
      <alignment horizontal="right"/>
    </xf>
    <xf numFmtId="0" fontId="49" fillId="81" borderId="23" applyNumberFormat="0" applyAlignment="0" applyProtection="0"/>
    <xf numFmtId="0" fontId="49" fillId="81" borderId="23" applyNumberFormat="0" applyAlignment="0" applyProtection="0"/>
    <xf numFmtId="191"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4"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4" fontId="19" fillId="72" borderId="9"/>
    <xf numFmtId="0" fontId="26" fillId="0" borderId="0">
      <alignment horizontal="left"/>
    </xf>
    <xf numFmtId="41" fontId="19" fillId="0" borderId="0" applyFont="0" applyFill="0" applyBorder="0" applyAlignment="0" applyProtection="0"/>
    <xf numFmtId="41" fontId="19" fillId="0" borderId="0" applyFont="0" applyFill="0" applyBorder="0" applyAlignment="0" applyProtection="0"/>
    <xf numFmtId="0" fontId="21" fillId="0" borderId="0">
      <alignment vertical="top"/>
    </xf>
    <xf numFmtId="191"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4"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0" fontId="19" fillId="0" borderId="0"/>
    <xf numFmtId="180" fontId="19" fillId="0" borderId="0"/>
    <xf numFmtId="180" fontId="19" fillId="0" borderId="0"/>
    <xf numFmtId="180"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8"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5" fillId="0" borderId="0" applyFont="0" applyFill="0" applyBorder="0" applyAlignment="0" applyProtection="0"/>
    <xf numFmtId="43" fontId="103" fillId="0" borderId="0" applyFont="0" applyFill="0" applyBorder="0" applyAlignment="0" applyProtection="0"/>
    <xf numFmtId="43" fontId="17"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3" fillId="0" borderId="0" applyFont="0" applyFill="0" applyBorder="0" applyAlignment="0" applyProtection="0"/>
    <xf numFmtId="44"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79"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8" fillId="0" borderId="0"/>
    <xf numFmtId="197" fontId="18" fillId="0" borderId="0"/>
    <xf numFmtId="0" fontId="103" fillId="0" borderId="0"/>
    <xf numFmtId="0" fontId="103"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8" fillId="0" borderId="0"/>
    <xf numFmtId="197" fontId="18" fillId="0" borderId="0"/>
    <xf numFmtId="0" fontId="103" fillId="0" borderId="0"/>
    <xf numFmtId="0" fontId="1" fillId="0" borderId="0"/>
    <xf numFmtId="0" fontId="18" fillId="0" borderId="0"/>
    <xf numFmtId="196" fontId="18" fillId="0" borderId="0"/>
    <xf numFmtId="0" fontId="17"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0" fontId="122" fillId="0" borderId="0"/>
    <xf numFmtId="0" fontId="19" fillId="0" borderId="0"/>
    <xf numFmtId="0" fontId="1" fillId="0" borderId="0"/>
    <xf numFmtId="0" fontId="17" fillId="0" borderId="0"/>
    <xf numFmtId="0" fontId="19" fillId="0" borderId="0"/>
    <xf numFmtId="196" fontId="19" fillId="0" borderId="0"/>
    <xf numFmtId="0" fontId="1" fillId="0" borderId="0"/>
    <xf numFmtId="0" fontId="1" fillId="0" borderId="0"/>
    <xf numFmtId="0" fontId="1" fillId="0" borderId="0"/>
    <xf numFmtId="0" fontId="122" fillId="0" borderId="0"/>
    <xf numFmtId="196" fontId="19" fillId="0" borderId="0"/>
    <xf numFmtId="196" fontId="19" fillId="0" borderId="0"/>
    <xf numFmtId="196" fontId="19" fillId="0" borderId="0"/>
    <xf numFmtId="196" fontId="19" fillId="0" borderId="0"/>
    <xf numFmtId="0" fontId="18"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9" fillId="0" borderId="0"/>
    <xf numFmtId="197"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6" fontId="19" fillId="0" borderId="0"/>
    <xf numFmtId="196"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6"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43"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199"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0" fontId="21" fillId="0" borderId="0"/>
    <xf numFmtId="201" fontId="21" fillId="0" borderId="0"/>
    <xf numFmtId="202" fontId="21" fillId="0" borderId="0"/>
    <xf numFmtId="200"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alignment horizontal="right"/>
      <protection locked="0"/>
    </xf>
    <xf numFmtId="207" fontId="21" fillId="0" borderId="0">
      <alignment horizontal="right"/>
      <protection locked="0"/>
    </xf>
    <xf numFmtId="208" fontId="21" fillId="0" borderId="0"/>
    <xf numFmtId="209" fontId="21" fillId="0" borderId="0"/>
    <xf numFmtId="210" fontId="21" fillId="0" borderId="0"/>
    <xf numFmtId="208"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43" fontId="17" fillId="0" borderId="0" applyFont="0" applyFill="0" applyBorder="0" applyAlignment="0" applyProtection="0"/>
    <xf numFmtId="43" fontId="1" fillId="0" borderId="0" applyFont="0" applyFill="0" applyBorder="0" applyAlignment="0" applyProtection="0"/>
    <xf numFmtId="181" fontId="13" fillId="0" borderId="0" applyFont="0" applyFill="0" applyBorder="0" applyAlignment="0" applyProtection="0"/>
    <xf numFmtId="44" fontId="1" fillId="0" borderId="0" applyFont="0" applyFill="0" applyBorder="0" applyAlignment="0" applyProtection="0"/>
    <xf numFmtId="44" fontId="10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9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9" fontId="133" fillId="98" borderId="0">
      <alignment vertical="center"/>
    </xf>
    <xf numFmtId="49" fontId="133" fillId="99" borderId="0">
      <alignment vertical="center"/>
    </xf>
    <xf numFmtId="200"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43">
      <protection locked="0"/>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08"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1" fontId="21" fillId="60" borderId="43">
      <alignment horizontal="left" indent="1"/>
      <protection locked="0"/>
    </xf>
    <xf numFmtId="211" fontId="21" fillId="60" borderId="43">
      <alignment horizontal="left" indent="1"/>
      <protection locked="0"/>
    </xf>
    <xf numFmtId="211"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2" fontId="14" fillId="78" borderId="0">
      <alignment horizontal="right"/>
    </xf>
    <xf numFmtId="15" fontId="135" fillId="109" borderId="0" applyNumberFormat="0" applyFont="0" applyBorder="0" applyAlignment="0" applyProtection="0"/>
    <xf numFmtId="199"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4" fontId="29"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217"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0" fontId="156" fillId="0" borderId="0">
      <alignment horizontal="right"/>
    </xf>
    <xf numFmtId="199"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198"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18" fontId="135" fillId="0" borderId="0" applyFont="0" applyFill="0" applyBorder="0" applyAlignment="0" applyProtection="0"/>
    <xf numFmtId="0" fontId="1" fillId="0" borderId="0"/>
    <xf numFmtId="0" fontId="19" fillId="80" borderId="9">
      <protection locked="0"/>
    </xf>
    <xf numFmtId="195" fontId="19" fillId="0" borderId="33">
      <protection locked="0"/>
    </xf>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4" fontId="79" fillId="80" borderId="9"/>
    <xf numFmtId="184" fontId="79" fillId="80" borderId="9"/>
    <xf numFmtId="184" fontId="79" fillId="80" borderId="9"/>
    <xf numFmtId="184" fontId="79" fillId="80" borderId="9"/>
    <xf numFmtId="184" fontId="79" fillId="80" borderId="9"/>
    <xf numFmtId="183" fontId="81" fillId="60" borderId="9"/>
    <xf numFmtId="184" fontId="79" fillId="80" borderId="9"/>
    <xf numFmtId="195" fontId="19" fillId="0" borderId="33">
      <protection locked="0"/>
    </xf>
    <xf numFmtId="187"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4"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184" fontId="79" fillId="80" borderId="9"/>
    <xf numFmtId="184" fontId="79" fillId="80" borderId="9"/>
    <xf numFmtId="184" fontId="79" fillId="80" borderId="9"/>
    <xf numFmtId="184" fontId="79" fillId="80" borderId="9"/>
    <xf numFmtId="184" fontId="79" fillId="80" borderId="9"/>
    <xf numFmtId="184" fontId="79" fillId="80" borderId="9"/>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80" borderId="9">
      <protection locked="0"/>
    </xf>
    <xf numFmtId="0" fontId="19" fillId="80" borderId="9">
      <protection locked="0"/>
    </xf>
    <xf numFmtId="184" fontId="79" fillId="80" borderId="9"/>
    <xf numFmtId="184" fontId="79" fillId="80" borderId="9"/>
    <xf numFmtId="184" fontId="79" fillId="80" borderId="9"/>
    <xf numFmtId="184" fontId="79" fillId="80" borderId="9"/>
    <xf numFmtId="184" fontId="79" fillId="80" borderId="9"/>
    <xf numFmtId="184" fontId="79" fillId="80" borderId="9"/>
    <xf numFmtId="41" fontId="19" fillId="0" borderId="0" applyFont="0" applyFill="0" applyBorder="0" applyAlignment="0" applyProtection="0"/>
    <xf numFmtId="41" fontId="19" fillId="0" borderId="0" applyFont="0" applyFill="0" applyBorder="0" applyAlignment="0" applyProtection="0"/>
    <xf numFmtId="43" fontId="1" fillId="0" borderId="0" applyFont="0" applyFill="0" applyBorder="0" applyAlignment="0" applyProtection="0"/>
    <xf numFmtId="0" fontId="17" fillId="0" borderId="0"/>
    <xf numFmtId="0" fontId="1" fillId="0" borderId="0"/>
    <xf numFmtId="0" fontId="1" fillId="0" borderId="0"/>
    <xf numFmtId="0" fontId="17" fillId="0" borderId="0"/>
    <xf numFmtId="184" fontId="79" fillId="80" borderId="9"/>
    <xf numFmtId="184" fontId="79" fillId="80" borderId="9"/>
    <xf numFmtId="184" fontId="79" fillId="80" borderId="9"/>
    <xf numFmtId="184" fontId="79" fillId="80" borderId="9"/>
    <xf numFmtId="184" fontId="79" fillId="80" borderId="9"/>
    <xf numFmtId="184" fontId="79" fillId="80" borderId="9"/>
    <xf numFmtId="43" fontId="19" fillId="0" borderId="0" applyFont="0" applyFill="0" applyBorder="0" applyAlignment="0" applyProtection="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43" fontId="19" fillId="0" borderId="0" applyFont="0" applyFill="0" applyBorder="0" applyAlignment="0" applyProtection="0"/>
    <xf numFmtId="0" fontId="17" fillId="0" borderId="0"/>
    <xf numFmtId="0" fontId="17" fillId="0" borderId="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0" fontId="19" fillId="0" borderId="0"/>
    <xf numFmtId="0" fontId="17" fillId="0" borderId="0"/>
    <xf numFmtId="43" fontId="19" fillId="0" borderId="0" applyFont="0" applyFill="0" applyBorder="0" applyAlignment="0" applyProtection="0"/>
    <xf numFmtId="0" fontId="17" fillId="0" borderId="0"/>
    <xf numFmtId="43"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135">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ill="1" applyAlignment="1">
      <alignment readingOrder="1"/>
    </xf>
    <xf numFmtId="0" fontId="6" fillId="0" borderId="0" xfId="0" applyFont="1" applyAlignment="1">
      <alignment readingOrder="1"/>
    </xf>
    <xf numFmtId="0" fontId="9" fillId="0" borderId="0" xfId="0" applyFont="1" applyAlignment="1">
      <alignment horizontal="left" wrapText="1" readingOrder="1"/>
    </xf>
    <xf numFmtId="0" fontId="0" fillId="0" borderId="0" xfId="0" applyAlignment="1">
      <alignment horizontal="right"/>
    </xf>
    <xf numFmtId="0" fontId="0" fillId="0" borderId="0" xfId="0" applyAlignment="1">
      <alignment horizontal="center"/>
    </xf>
    <xf numFmtId="0" fontId="163" fillId="0" borderId="0" xfId="0" applyFont="1" applyAlignment="1">
      <alignment horizontal="left" vertical="top"/>
    </xf>
    <xf numFmtId="0" fontId="3" fillId="0" borderId="0" xfId="0" applyFont="1" applyAlignment="1">
      <alignment horizontal="left" vertical="center"/>
    </xf>
    <xf numFmtId="0" fontId="9" fillId="0" borderId="0" xfId="0" applyFont="1" applyAlignment="1">
      <alignment horizontal="left" vertical="top"/>
    </xf>
    <xf numFmtId="0" fontId="9" fillId="0" borderId="0" xfId="0" applyFont="1" applyAlignment="1">
      <alignment horizontal="left" vertical="top" wrapText="1"/>
    </xf>
    <xf numFmtId="0" fontId="6" fillId="0" borderId="0" xfId="0" applyFont="1" applyAlignment="1">
      <alignment vertical="top"/>
    </xf>
    <xf numFmtId="165" fontId="9" fillId="0" borderId="0" xfId="0" applyNumberFormat="1" applyFont="1" applyAlignment="1">
      <alignment horizontal="right" vertical="top" wrapText="1" readingOrder="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vertical="center"/>
    </xf>
    <xf numFmtId="0" fontId="9" fillId="0" borderId="0" xfId="0" applyFont="1" applyAlignment="1">
      <alignment wrapText="1"/>
    </xf>
    <xf numFmtId="0" fontId="3" fillId="0" borderId="0" xfId="1" applyAlignment="1">
      <alignment wrapText="1" readingOrder="1"/>
    </xf>
    <xf numFmtId="0" fontId="9" fillId="0" borderId="0" xfId="2" applyFont="1" applyFill="1" applyBorder="1" applyAlignment="1">
      <alignment horizontal="left" wrapText="1" readingOrder="1"/>
    </xf>
    <xf numFmtId="0" fontId="7" fillId="0" borderId="0" xfId="4" applyAlignment="1">
      <alignment vertical="top" wrapText="1"/>
    </xf>
    <xf numFmtId="0" fontId="7" fillId="0" borderId="0" xfId="4" applyFill="1" applyAlignment="1">
      <alignment wrapText="1"/>
    </xf>
    <xf numFmtId="165" fontId="9" fillId="0" borderId="54" xfId="0" applyNumberFormat="1" applyFont="1" applyBorder="1" applyAlignment="1">
      <alignment horizontal="right" vertical="top" wrapText="1" readingOrder="1"/>
    </xf>
    <xf numFmtId="0" fontId="4" fillId="0" borderId="0" xfId="0" applyFont="1" applyAlignment="1">
      <alignment vertical="top" wrapText="1"/>
    </xf>
    <xf numFmtId="0" fontId="166"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6" fillId="0" borderId="0" xfId="0" applyFont="1" applyAlignment="1">
      <alignment horizontal="left" wrapText="1"/>
    </xf>
    <xf numFmtId="0" fontId="7" fillId="0" borderId="0" xfId="4"/>
    <xf numFmtId="0" fontId="168" fillId="0" borderId="0" xfId="0" applyFont="1" applyAlignment="1">
      <alignment horizontal="left" wrapText="1" readingOrder="1"/>
    </xf>
    <xf numFmtId="0" fontId="168" fillId="0" borderId="53" xfId="0" applyFont="1" applyBorder="1" applyAlignment="1">
      <alignment horizontal="left" wrapText="1" readingOrder="1"/>
    </xf>
    <xf numFmtId="165" fontId="6" fillId="0" borderId="54" xfId="0" applyNumberFormat="1" applyFont="1" applyBorder="1" applyAlignment="1">
      <alignment horizontal="right"/>
    </xf>
    <xf numFmtId="165" fontId="6" fillId="0" borderId="0" xfId="0" applyNumberFormat="1" applyFont="1" applyAlignment="1">
      <alignment horizontal="right"/>
    </xf>
    <xf numFmtId="165" fontId="0" fillId="0" borderId="0" xfId="0" applyNumberFormat="1"/>
    <xf numFmtId="0" fontId="0" fillId="0" borderId="0" xfId="0" pivotButton="1"/>
    <xf numFmtId="0" fontId="0" fillId="0" borderId="0" xfId="0" applyAlignment="1">
      <alignment horizontal="left"/>
    </xf>
    <xf numFmtId="0" fontId="0" fillId="0" borderId="60" xfId="0" applyBorder="1"/>
    <xf numFmtId="0" fontId="186" fillId="0" borderId="62" xfId="0" applyFont="1" applyBorder="1"/>
    <xf numFmtId="2" fontId="0" fillId="0" borderId="0" xfId="55011" applyNumberFormat="1" applyFont="1"/>
    <xf numFmtId="9" fontId="0" fillId="0" borderId="0" xfId="55011" applyFont="1"/>
    <xf numFmtId="0" fontId="0" fillId="117" borderId="0" xfId="0" applyFill="1"/>
    <xf numFmtId="0" fontId="169" fillId="117" borderId="0" xfId="0" applyFont="1" applyFill="1" applyAlignment="1">
      <alignment vertical="top" wrapText="1"/>
    </xf>
    <xf numFmtId="0" fontId="171" fillId="117" borderId="0" xfId="0" applyFont="1" applyFill="1" applyAlignment="1">
      <alignment vertical="center"/>
    </xf>
    <xf numFmtId="0" fontId="171" fillId="117" borderId="0" xfId="0" applyFont="1" applyFill="1"/>
    <xf numFmtId="0" fontId="172" fillId="117" borderId="0" xfId="0" applyFont="1" applyFill="1" applyAlignment="1">
      <alignment horizontal="left"/>
    </xf>
    <xf numFmtId="0" fontId="173" fillId="117" borderId="0" xfId="0" applyFont="1" applyFill="1" applyAlignment="1">
      <alignment vertical="center"/>
    </xf>
    <xf numFmtId="0" fontId="170" fillId="117" borderId="0" xfId="0" applyFont="1" applyFill="1" applyAlignment="1">
      <alignment vertical="center" wrapText="1"/>
    </xf>
    <xf numFmtId="0" fontId="174" fillId="117" borderId="0" xfId="0" applyFont="1" applyFill="1" applyAlignment="1">
      <alignment vertical="center"/>
    </xf>
    <xf numFmtId="0" fontId="0" fillId="117" borderId="0" xfId="0" applyFill="1" applyAlignment="1">
      <alignment horizontal="left"/>
    </xf>
    <xf numFmtId="0" fontId="187" fillId="117" borderId="0" xfId="0" applyFont="1" applyFill="1"/>
    <xf numFmtId="0" fontId="188" fillId="117" borderId="0" xfId="0" applyFont="1" applyFill="1"/>
    <xf numFmtId="0" fontId="189" fillId="117" borderId="0" xfId="0" applyFont="1" applyFill="1"/>
    <xf numFmtId="0" fontId="103" fillId="117" borderId="0" xfId="0" applyFont="1" applyFill="1"/>
    <xf numFmtId="0" fontId="190" fillId="117" borderId="0" xfId="0" applyFont="1" applyFill="1"/>
    <xf numFmtId="0" fontId="187" fillId="117" borderId="0" xfId="0" applyFont="1" applyFill="1" applyAlignment="1">
      <alignment horizontal="left"/>
    </xf>
    <xf numFmtId="0" fontId="0" fillId="117" borderId="0" xfId="0" applyFill="1" applyAlignment="1">
      <alignment horizontal="center" vertical="center"/>
    </xf>
    <xf numFmtId="0" fontId="8" fillId="117" borderId="0" xfId="0" applyFont="1" applyFill="1"/>
    <xf numFmtId="0" fontId="177" fillId="117" borderId="0" xfId="0" applyFont="1" applyFill="1"/>
    <xf numFmtId="0" fontId="179" fillId="117" borderId="0" xfId="0" applyFont="1" applyFill="1" applyAlignment="1">
      <alignment horizontal="left"/>
    </xf>
    <xf numFmtId="0" fontId="179" fillId="117" borderId="0" xfId="0" applyFont="1" applyFill="1"/>
    <xf numFmtId="0" fontId="180" fillId="117" borderId="0" xfId="0" applyFont="1" applyFill="1"/>
    <xf numFmtId="0" fontId="181" fillId="117" borderId="0" xfId="0" applyFont="1" applyFill="1"/>
    <xf numFmtId="0" fontId="182" fillId="117" borderId="0" xfId="0" applyFont="1" applyFill="1"/>
    <xf numFmtId="0" fontId="183" fillId="117" borderId="0" xfId="0" applyFont="1" applyFill="1"/>
    <xf numFmtId="0" fontId="191" fillId="0" borderId="0" xfId="0" applyFont="1"/>
    <xf numFmtId="0" fontId="192" fillId="118" borderId="0" xfId="0" applyFont="1" applyFill="1"/>
    <xf numFmtId="0" fontId="0" fillId="118" borderId="0" xfId="0" applyFill="1"/>
    <xf numFmtId="0" fontId="191" fillId="118" borderId="0" xfId="0" applyFont="1" applyFill="1"/>
    <xf numFmtId="0" fontId="3" fillId="0" borderId="0" xfId="1" applyFill="1" applyAlignment="1">
      <alignment horizontal="left" readingOrder="1"/>
    </xf>
    <xf numFmtId="165" fontId="6" fillId="0" borderId="0" xfId="55011" applyNumberFormat="1" applyFont="1" applyFill="1" applyBorder="1" applyAlignment="1">
      <alignment horizontal="right"/>
    </xf>
    <xf numFmtId="0" fontId="184" fillId="115" borderId="57" xfId="0" applyFont="1" applyFill="1" applyBorder="1" applyAlignment="1">
      <alignment vertical="center"/>
    </xf>
    <xf numFmtId="0" fontId="11" fillId="116" borderId="0" xfId="0" applyFont="1" applyFill="1"/>
    <xf numFmtId="165" fontId="11" fillId="116" borderId="0" xfId="0" applyNumberFormat="1" applyFont="1" applyFill="1" applyAlignment="1">
      <alignment horizontal="center"/>
    </xf>
    <xf numFmtId="0" fontId="11" fillId="0" borderId="0" xfId="0" applyFont="1"/>
    <xf numFmtId="165" fontId="11" fillId="0" borderId="0" xfId="0" applyNumberFormat="1" applyFont="1" applyAlignment="1">
      <alignment horizontal="center"/>
    </xf>
    <xf numFmtId="0" fontId="184" fillId="115" borderId="58" xfId="0" applyFont="1" applyFill="1" applyBorder="1" applyAlignment="1">
      <alignment horizontal="center" vertical="center"/>
    </xf>
    <xf numFmtId="165" fontId="184" fillId="115" borderId="58" xfId="0" applyNumberFormat="1" applyFont="1" applyFill="1" applyBorder="1" applyAlignment="1">
      <alignment horizontal="center" vertical="center" wrapText="1" readingOrder="1"/>
    </xf>
    <xf numFmtId="165" fontId="184" fillId="115" borderId="59" xfId="0" applyNumberFormat="1" applyFont="1" applyFill="1" applyBorder="1" applyAlignment="1">
      <alignment horizontal="center" vertical="center" wrapText="1" readingOrder="1"/>
    </xf>
    <xf numFmtId="0" fontId="168" fillId="116" borderId="63" xfId="0" applyFont="1" applyFill="1" applyBorder="1" applyAlignment="1">
      <alignment horizontal="left" wrapText="1" readingOrder="1"/>
    </xf>
    <xf numFmtId="165" fontId="11" fillId="116" borderId="64" xfId="0" applyNumberFormat="1" applyFont="1" applyFill="1" applyBorder="1" applyAlignment="1">
      <alignment horizontal="center"/>
    </xf>
    <xf numFmtId="0" fontId="168" fillId="0" borderId="63" xfId="0" applyFont="1" applyBorder="1" applyAlignment="1">
      <alignment horizontal="left" wrapText="1" readingOrder="1"/>
    </xf>
    <xf numFmtId="165" fontId="11" fillId="0" borderId="64" xfId="0" applyNumberFormat="1" applyFont="1" applyBorder="1" applyAlignment="1">
      <alignment horizontal="center"/>
    </xf>
    <xf numFmtId="0" fontId="185" fillId="0" borderId="63" xfId="0" applyFont="1" applyBorder="1" applyAlignment="1">
      <alignment horizontal="left" wrapText="1" readingOrder="1"/>
    </xf>
    <xf numFmtId="0" fontId="185" fillId="116" borderId="63" xfId="2" applyFont="1" applyFill="1" applyBorder="1" applyAlignment="1">
      <alignment horizontal="left" wrapText="1" readingOrder="1"/>
    </xf>
    <xf numFmtId="0" fontId="6" fillId="0" borderId="0" xfId="0" applyFont="1" applyAlignment="1">
      <alignment horizontal="left" vertical="top"/>
    </xf>
    <xf numFmtId="0" fontId="167" fillId="0" borderId="0" xfId="0" applyFont="1" applyAlignment="1">
      <alignment horizontal="left" readingOrder="1"/>
    </xf>
    <xf numFmtId="0" fontId="167" fillId="0" borderId="0" xfId="0" applyFont="1" applyAlignment="1">
      <alignment horizontal="left" wrapText="1" readingOrder="1"/>
    </xf>
    <xf numFmtId="0" fontId="193" fillId="0" borderId="0" xfId="0" applyFont="1" applyAlignment="1">
      <alignment horizontal="left" readingOrder="1"/>
    </xf>
    <xf numFmtId="165" fontId="0" fillId="0" borderId="61" xfId="0" applyNumberFormat="1" applyBorder="1"/>
    <xf numFmtId="0" fontId="9" fillId="0" borderId="0" xfId="0" applyFont="1" applyAlignment="1">
      <alignment horizontal="left" wrapText="1"/>
    </xf>
    <xf numFmtId="165" fontId="164" fillId="0" borderId="54" xfId="0" applyNumberFormat="1" applyFont="1" applyBorder="1" applyAlignment="1">
      <alignment horizontal="right" wrapText="1" readingOrder="1"/>
    </xf>
    <xf numFmtId="165" fontId="164" fillId="0" borderId="0" xfId="55011" applyNumberFormat="1" applyFont="1" applyFill="1" applyBorder="1" applyAlignment="1">
      <alignment horizontal="right"/>
    </xf>
    <xf numFmtId="165" fontId="164" fillId="0" borderId="55" xfId="0" applyNumberFormat="1" applyFont="1" applyBorder="1" applyAlignment="1">
      <alignment horizontal="right" wrapText="1" readingOrder="1"/>
    </xf>
    <xf numFmtId="165" fontId="164" fillId="0" borderId="53" xfId="55011" applyNumberFormat="1" applyFont="1" applyFill="1" applyBorder="1" applyAlignment="1">
      <alignment horizontal="right"/>
    </xf>
    <xf numFmtId="165" fontId="164" fillId="0" borderId="54" xfId="55011" applyNumberFormat="1" applyFont="1" applyFill="1" applyBorder="1" applyAlignment="1">
      <alignment horizontal="right"/>
    </xf>
    <xf numFmtId="165" fontId="164" fillId="0" borderId="56" xfId="55011" applyNumberFormat="1" applyFont="1" applyFill="1" applyBorder="1" applyAlignment="1">
      <alignment horizontal="right"/>
    </xf>
    <xf numFmtId="165" fontId="164" fillId="0" borderId="66" xfId="55011" applyNumberFormat="1" applyFont="1" applyFill="1" applyBorder="1" applyAlignment="1">
      <alignment horizontal="right"/>
    </xf>
    <xf numFmtId="0" fontId="167" fillId="0" borderId="0" xfId="0" applyFont="1" applyAlignment="1">
      <alignment readingOrder="1"/>
    </xf>
    <xf numFmtId="0" fontId="3" fillId="0" borderId="0" xfId="0" applyFont="1" applyAlignment="1">
      <alignment readingOrder="1"/>
    </xf>
    <xf numFmtId="0" fontId="196" fillId="0" borderId="0" xfId="0" applyFont="1" applyAlignment="1">
      <alignment vertical="top" wrapText="1"/>
    </xf>
    <xf numFmtId="0" fontId="168" fillId="116" borderId="65" xfId="0" applyFont="1" applyFill="1" applyBorder="1" applyAlignment="1">
      <alignment horizontal="left" wrapText="1" readingOrder="1"/>
    </xf>
    <xf numFmtId="2" fontId="6" fillId="0" borderId="0" xfId="0" applyNumberFormat="1" applyFont="1" applyAlignment="1">
      <alignment horizontal="right"/>
    </xf>
    <xf numFmtId="2" fontId="6" fillId="0" borderId="0" xfId="2" applyNumberFormat="1" applyFont="1" applyFill="1" applyBorder="1" applyAlignment="1">
      <alignment horizontal="right"/>
    </xf>
    <xf numFmtId="2" fontId="6" fillId="0" borderId="54" xfId="0" applyNumberFormat="1" applyFont="1" applyBorder="1" applyAlignment="1">
      <alignment horizontal="right"/>
    </xf>
    <xf numFmtId="1" fontId="6" fillId="0" borderId="54" xfId="0" applyNumberFormat="1" applyFont="1" applyBorder="1" applyAlignment="1">
      <alignment horizontal="right"/>
    </xf>
    <xf numFmtId="1" fontId="6" fillId="0" borderId="0" xfId="0" applyNumberFormat="1" applyFont="1" applyAlignment="1">
      <alignment horizontal="right"/>
    </xf>
    <xf numFmtId="1" fontId="6" fillId="0" borderId="0" xfId="55011" applyNumberFormat="1" applyFont="1" applyFill="1" applyBorder="1" applyAlignment="1">
      <alignment horizontal="right"/>
    </xf>
    <xf numFmtId="0" fontId="7" fillId="0" borderId="0" xfId="4" applyFill="1" applyBorder="1" applyAlignment="1">
      <alignment wrapText="1"/>
    </xf>
    <xf numFmtId="0" fontId="7" fillId="0" borderId="0" xfId="4" applyFill="1" applyAlignment="1">
      <alignment readingOrder="1"/>
    </xf>
    <xf numFmtId="2" fontId="11" fillId="0" borderId="0" xfId="0" applyNumberFormat="1" applyFont="1" applyAlignment="1">
      <alignment horizontal="center"/>
    </xf>
    <xf numFmtId="2" fontId="11" fillId="0" borderId="64" xfId="0" applyNumberFormat="1" applyFont="1" applyBorder="1" applyAlignment="1">
      <alignment horizontal="center"/>
    </xf>
    <xf numFmtId="2" fontId="11" fillId="116" borderId="0" xfId="0" applyNumberFormat="1" applyFont="1" applyFill="1" applyAlignment="1">
      <alignment horizontal="center"/>
    </xf>
    <xf numFmtId="2" fontId="11" fillId="116" borderId="64" xfId="0" applyNumberFormat="1" applyFont="1" applyFill="1" applyBorder="1" applyAlignment="1">
      <alignment horizontal="center"/>
    </xf>
    <xf numFmtId="2" fontId="11" fillId="0" borderId="0" xfId="0" applyNumberFormat="1" applyFont="1"/>
    <xf numFmtId="2" fontId="11" fillId="0" borderId="64" xfId="0" applyNumberFormat="1" applyFont="1" applyBorder="1"/>
    <xf numFmtId="2" fontId="11" fillId="116" borderId="0" xfId="0" applyNumberFormat="1" applyFont="1" applyFill="1"/>
    <xf numFmtId="2" fontId="11" fillId="116" borderId="64" xfId="0" applyNumberFormat="1" applyFont="1" applyFill="1" applyBorder="1"/>
    <xf numFmtId="1" fontId="11" fillId="0" borderId="0" xfId="0" applyNumberFormat="1" applyFont="1" applyAlignment="1">
      <alignment horizontal="center"/>
    </xf>
    <xf numFmtId="1" fontId="11" fillId="0" borderId="64" xfId="0" applyNumberFormat="1" applyFont="1" applyBorder="1" applyAlignment="1">
      <alignment horizontal="center"/>
    </xf>
    <xf numFmtId="1" fontId="11" fillId="116" borderId="0" xfId="0" applyNumberFormat="1" applyFont="1" applyFill="1" applyAlignment="1">
      <alignment horizontal="center"/>
    </xf>
    <xf numFmtId="1" fontId="11" fillId="116" borderId="64" xfId="0" applyNumberFormat="1" applyFont="1" applyFill="1" applyBorder="1" applyAlignment="1">
      <alignment horizontal="center"/>
    </xf>
    <xf numFmtId="0" fontId="0" fillId="117" borderId="0" xfId="0" applyFill="1" applyAlignment="1">
      <alignment wrapText="1"/>
    </xf>
    <xf numFmtId="0" fontId="176" fillId="117" borderId="0" xfId="0" applyFont="1" applyFill="1" applyAlignment="1">
      <alignment vertical="top" wrapText="1"/>
    </xf>
    <xf numFmtId="0" fontId="197" fillId="0" borderId="0" xfId="0" pivotButton="1" applyFont="1"/>
    <xf numFmtId="0" fontId="198" fillId="116" borderId="67" xfId="0" applyFont="1" applyFill="1" applyBorder="1"/>
    <xf numFmtId="0" fontId="199" fillId="0" borderId="0" xfId="0" applyFont="1"/>
    <xf numFmtId="0" fontId="175" fillId="117" borderId="0" xfId="0" applyFont="1" applyFill="1" applyAlignment="1">
      <alignment horizontal="left" vertical="center" wrapText="1"/>
    </xf>
    <xf numFmtId="9" fontId="8" fillId="117" borderId="0" xfId="0" applyNumberFormat="1" applyFont="1" applyFill="1" applyAlignment="1">
      <alignment horizontal="left" wrapText="1"/>
    </xf>
    <xf numFmtId="0" fontId="176" fillId="117" borderId="0" xfId="0" applyFont="1" applyFill="1" applyAlignment="1">
      <alignment horizontal="left" vertical="top" wrapText="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62">
    <dxf>
      <numFmt numFmtId="165" formatCode="0.0"/>
    </dxf>
    <dxf>
      <numFmt numFmtId="165" formatCode="0.0"/>
    </dxf>
    <dxf>
      <numFmt numFmtId="165" formatCode="0.0"/>
    </dxf>
    <dxf>
      <numFmt numFmtId="165" formatCode="0.0"/>
    </dxf>
    <dxf>
      <numFmt numFmtId="165" formatCode="0.0"/>
    </dxf>
    <dxf>
      <font>
        <color auto="1"/>
      </font>
    </dxf>
    <dxf>
      <font>
        <sz val="12"/>
      </font>
    </dxf>
    <dxf>
      <font>
        <name val="Arial"/>
      </font>
    </dxf>
    <dxf>
      <numFmt numFmtId="165" formatCode="0.0"/>
    </dxf>
    <dxf>
      <numFmt numFmtId="165" formatCode="0.0"/>
    </dxf>
    <dxf>
      <numFmt numFmtId="165" formatCode="0.0"/>
    </dxf>
    <dxf>
      <numFmt numFmtId="165" formatCode="0.0"/>
    </dxf>
    <dxf>
      <numFmt numFmtId="165" formatCode="0.0"/>
    </dxf>
    <dxf>
      <numFmt numFmtId="165" formatCode="0.0"/>
    </dxf>
    <dxf>
      <font>
        <b val="0"/>
        <i val="0"/>
        <strike val="0"/>
        <condense val="0"/>
        <extend val="0"/>
        <outline val="0"/>
        <shadow val="0"/>
        <u val="none"/>
        <vertAlign val="baseline"/>
        <sz val="11"/>
        <color theme="1"/>
        <name val="Calibri"/>
        <family val="2"/>
        <scheme val="none"/>
      </font>
      <numFmt numFmtId="165" formatCode="0.0"/>
      <fill>
        <patternFill patternType="solid">
          <fgColor theme="4" tint="0.79998168889431442"/>
          <bgColor theme="4"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dxf>
    <dxf>
      <border outline="0">
        <top style="thin">
          <color rgb="FF000000"/>
        </top>
        <bottom style="medium">
          <color indexed="64"/>
        </bottom>
      </border>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center" textRotation="0" wrapText="1" indent="0" justifyLastLine="0" shrinkToFit="0" readingOrder="1"/>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center" vertical="center" textRotation="0" wrapText="0" indent="0" justifyLastLine="0" shrinkToFit="0"/>
    </dxf>
  </dxfs>
  <tableStyles count="2" defaultTableStyle="TableStyleMedium2" defaultPivotStyle="PivotStyleLight16">
    <tableStyle name="indicators" pivot="0" table="0" count="6" xr9:uid="{3E45B13D-FB78-4233-8314-C559FC15E96C}"/>
    <tableStyle name="Slicer Style 1" pivot="0" table="0" count="6" xr9:uid="{C5F159F9-1CF6-4E3F-A1DA-57A336757E63}"/>
  </tableStyles>
  <colors>
    <mruColors>
      <color rgb="FF9C46A3"/>
      <color rgb="FF702472"/>
      <color rgb="FF8392C3"/>
      <color rgb="FF8787C9"/>
      <color rgb="FF253268"/>
      <color rgb="FFEA0000"/>
      <color rgb="FFA5AFD3"/>
      <color rgb="FF808080"/>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network.xlsx]workings!NH</c:name>
    <c:fmtId val="5"/>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National Highways</a:t>
            </a:r>
          </a:p>
        </c:rich>
      </c:tx>
      <c:layout>
        <c:manualLayout>
          <c:xMode val="edge"/>
          <c:yMode val="edge"/>
          <c:x val="5.9711286089236316E-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253268"/>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702472"/>
          </a:solidFill>
          <a:ln>
            <a:noFill/>
          </a:ln>
          <a:effectLst/>
        </c:spPr>
      </c:pivotFmt>
      <c:pivotFmt>
        <c:idx val="4"/>
        <c:spPr>
          <a:solidFill>
            <a:srgbClr val="702472"/>
          </a:solidFill>
          <a:ln>
            <a:noFill/>
          </a:ln>
          <a:effectLst/>
        </c:spPr>
      </c:pivotFmt>
      <c:pivotFmt>
        <c:idx val="5"/>
        <c:spPr>
          <a:solidFill>
            <a:srgbClr val="702472"/>
          </a:solidFill>
          <a:ln>
            <a:noFill/>
          </a:ln>
          <a:effectLst/>
        </c:spPr>
      </c:pivotFmt>
      <c:pivotFmt>
        <c:idx val="6"/>
      </c:pivotFmt>
      <c:pivotFmt>
        <c:idx val="7"/>
      </c:pivotFmt>
      <c:pivotFmt>
        <c:idx val="8"/>
      </c:pivotFmt>
      <c:pivotFmt>
        <c:idx val="9"/>
      </c:pivotFmt>
      <c:pivotFmt>
        <c:idx val="10"/>
        <c:spPr>
          <a:solidFill>
            <a:srgbClr val="253268"/>
          </a:solidFill>
          <a:ln>
            <a:noFill/>
          </a:ln>
          <a:effectLst/>
        </c:spPr>
        <c:dLbl>
          <c:idx val="0"/>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a:t>80.5</a:t>
                </a:r>
              </a:p>
            </c:rich>
          </c:tx>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
        <c:idx val="11"/>
        <c:spPr>
          <a:solidFill>
            <a:srgbClr val="702472"/>
          </a:solidFill>
          <a:ln>
            <a:noFill/>
          </a:ln>
          <a:effectLst/>
        </c:spPr>
      </c:pivotFmt>
    </c:pivotFmts>
    <c:plotArea>
      <c:layout/>
      <c:barChart>
        <c:barDir val="col"/>
        <c:grouping val="clustered"/>
        <c:varyColors val="0"/>
        <c:ser>
          <c:idx val="0"/>
          <c:order val="0"/>
          <c:tx>
            <c:strRef>
              <c:f>workings!$B$5</c:f>
              <c:strCache>
                <c:ptCount val="1"/>
                <c:pt idx="0">
                  <c:v>Total</c:v>
                </c:pt>
              </c:strCache>
            </c:strRef>
          </c:tx>
          <c:spPr>
            <a:solidFill>
              <a:srgbClr val="253268"/>
            </a:solidFill>
            <a:ln>
              <a:noFill/>
            </a:ln>
            <a:effectLst/>
          </c:spPr>
          <c:invertIfNegative val="0"/>
          <c:dPt>
            <c:idx val="0"/>
            <c:invertIfNegative val="0"/>
            <c:bubble3D val="0"/>
            <c:spPr>
              <a:solidFill>
                <a:srgbClr val="702472"/>
              </a:solidFill>
              <a:ln>
                <a:noFill/>
              </a:ln>
              <a:effectLst/>
            </c:spPr>
            <c:extLst>
              <c:ext xmlns:c16="http://schemas.microsoft.com/office/drawing/2014/chart" uri="{C3380CC4-5D6E-409C-BE32-E72D297353CC}">
                <c16:uniqueId val="{00000001-42D0-4206-B855-1B225E4B9839}"/>
              </c:ext>
            </c:extLst>
          </c:dPt>
          <c:dPt>
            <c:idx val="1"/>
            <c:invertIfNegative val="0"/>
            <c:bubble3D val="0"/>
            <c:spPr>
              <a:solidFill>
                <a:srgbClr val="702472"/>
              </a:solidFill>
              <a:ln>
                <a:noFill/>
              </a:ln>
              <a:effectLst/>
            </c:spPr>
            <c:extLst>
              <c:ext xmlns:c16="http://schemas.microsoft.com/office/drawing/2014/chart" uri="{C3380CC4-5D6E-409C-BE32-E72D297353CC}">
                <c16:uniqueId val="{00000003-42D0-4206-B855-1B225E4B9839}"/>
              </c:ext>
            </c:extLst>
          </c:dPt>
          <c:dPt>
            <c:idx val="2"/>
            <c:invertIfNegative val="0"/>
            <c:bubble3D val="0"/>
            <c:spPr>
              <a:solidFill>
                <a:srgbClr val="702472"/>
              </a:solidFill>
              <a:ln>
                <a:noFill/>
              </a:ln>
              <a:effectLst/>
            </c:spPr>
            <c:extLst>
              <c:ext xmlns:c16="http://schemas.microsoft.com/office/drawing/2014/chart" uri="{C3380CC4-5D6E-409C-BE32-E72D297353CC}">
                <c16:uniqueId val="{00000005-42D0-4206-B855-1B225E4B9839}"/>
              </c:ext>
            </c:extLst>
          </c:dPt>
          <c:dLbls>
            <c:numFmt formatCode="#,##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workings!$A$6:$A$8</c:f>
              <c:strCache>
                <c:ptCount val="3"/>
                <c:pt idx="0">
                  <c:v>2020-21</c:v>
                </c:pt>
                <c:pt idx="1">
                  <c:v>2021-22</c:v>
                </c:pt>
                <c:pt idx="2">
                  <c:v>2022-23</c:v>
                </c:pt>
              </c:strCache>
            </c:strRef>
          </c:cat>
          <c:val>
            <c:numRef>
              <c:f>workings!$B$6:$B$8</c:f>
              <c:numCache>
                <c:formatCode>0.0</c:formatCode>
                <c:ptCount val="3"/>
                <c:pt idx="0">
                  <c:v>99.62</c:v>
                </c:pt>
                <c:pt idx="1">
                  <c:v>99.59</c:v>
                </c:pt>
                <c:pt idx="2">
                  <c:v>99.65</c:v>
                </c:pt>
              </c:numCache>
            </c:numRef>
          </c:val>
          <c:extLst>
            <c:ext xmlns:c16="http://schemas.microsoft.com/office/drawing/2014/chart" uri="{C3380CC4-5D6E-409C-BE32-E72D297353CC}">
              <c16:uniqueId val="{0000000A-A9C1-4A81-9579-27F706AE7DDF}"/>
            </c:ext>
          </c:extLst>
        </c:ser>
        <c:dLbls>
          <c:dLblPos val="inEnd"/>
          <c:showLegendKey val="0"/>
          <c:showVal val="1"/>
          <c:showCatName val="0"/>
          <c:showSerName val="0"/>
          <c:showPercent val="0"/>
          <c:showBubbleSize val="0"/>
        </c:dLbls>
        <c:gapWidth val="50"/>
        <c:overlap val="-25"/>
        <c:axId val="1478323183"/>
        <c:axId val="1478316111"/>
      </c:barChart>
      <c:catAx>
        <c:axId val="147832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78316111"/>
        <c:crosses val="autoZero"/>
        <c:auto val="1"/>
        <c:lblAlgn val="ctr"/>
        <c:lblOffset val="100"/>
        <c:noMultiLvlLbl val="0"/>
      </c:catAx>
      <c:valAx>
        <c:axId val="1478316111"/>
        <c:scaling>
          <c:orientation val="minMax"/>
          <c:min val="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783231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network.xlsx]workings!YNE</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Yorkshire and North East</a:t>
            </a:r>
          </a:p>
        </c:rich>
      </c:tx>
      <c:layout>
        <c:manualLayout>
          <c:xMode val="edge"/>
          <c:yMode val="edge"/>
          <c:x val="8.3333333333336483E-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9C46A3"/>
          </a:solidFill>
          <a:ln>
            <a:noFill/>
          </a:ln>
          <a:effectLst/>
        </c:spPr>
      </c:pivotFmt>
      <c:pivotFmt>
        <c:idx val="4"/>
        <c:spPr>
          <a:solidFill>
            <a:srgbClr val="9C46A3"/>
          </a:solidFill>
          <a:ln>
            <a:noFill/>
          </a:ln>
          <a:effectLst/>
        </c:spPr>
      </c:pivotFmt>
      <c:pivotFmt>
        <c:idx val="5"/>
        <c:spPr>
          <a:solidFill>
            <a:srgbClr val="9C46A3"/>
          </a:solidFill>
          <a:ln>
            <a:noFill/>
          </a:ln>
          <a:effectLst/>
        </c:spPr>
      </c:pivotFmt>
      <c:pivotFmt>
        <c:idx val="6"/>
        <c:spPr>
          <a:solidFill>
            <a:srgbClr val="8392C3"/>
          </a:solidFill>
          <a:ln>
            <a:noFill/>
          </a:ln>
          <a:effectLst/>
        </c:spPr>
      </c:pivotFmt>
      <c:pivotFmt>
        <c:idx val="7"/>
        <c:spPr>
          <a:solidFill>
            <a:srgbClr val="8392C3"/>
          </a:solidFill>
          <a:ln>
            <a:noFill/>
          </a:ln>
          <a:effectLst/>
        </c:spPr>
      </c:pivotFmt>
      <c:pivotFmt>
        <c:idx val="8"/>
        <c:spPr>
          <a:solidFill>
            <a:srgbClr val="8392C3"/>
          </a:solidFill>
          <a:ln>
            <a:noFill/>
          </a:ln>
          <a:effectLst/>
        </c:spPr>
      </c:pivotFmt>
      <c:pivotFmt>
        <c:idx val="9"/>
        <c:spPr>
          <a:solidFill>
            <a:srgbClr val="8392C3"/>
          </a:solidFill>
          <a:ln>
            <a:noFill/>
          </a:ln>
          <a:effectLst/>
        </c:spPr>
      </c:pivotFmt>
      <c:pivotFmt>
        <c:idx val="10"/>
        <c:spPr>
          <a:solidFill>
            <a:srgbClr val="8392C3"/>
          </a:solidFill>
          <a:ln>
            <a:noFill/>
          </a:ln>
          <a:effectLst/>
        </c:spPr>
      </c:pivotFmt>
      <c:pivotFmt>
        <c:idx val="11"/>
        <c:spPr>
          <a:solidFill>
            <a:srgbClr val="9C46A3"/>
          </a:solidFill>
          <a:ln>
            <a:noFill/>
          </a:ln>
          <a:effectLst/>
        </c:spPr>
      </c:pivotFmt>
    </c:pivotFmts>
    <c:plotArea>
      <c:layout>
        <c:manualLayout>
          <c:layoutTarget val="inner"/>
          <c:xMode val="edge"/>
          <c:yMode val="edge"/>
          <c:x val="0"/>
          <c:y val="0.13751047111951367"/>
          <c:w val="1"/>
          <c:h val="0.68061484697477892"/>
        </c:manualLayout>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E050-4171-81CE-1161F942BEF0}"/>
              </c:ext>
            </c:extLst>
          </c:dPt>
          <c:dPt>
            <c:idx val="1"/>
            <c:invertIfNegative val="0"/>
            <c:bubble3D val="0"/>
            <c:spPr>
              <a:solidFill>
                <a:srgbClr val="9C46A3"/>
              </a:solidFill>
              <a:ln>
                <a:noFill/>
              </a:ln>
              <a:effectLst/>
            </c:spPr>
            <c:extLst>
              <c:ext xmlns:c16="http://schemas.microsoft.com/office/drawing/2014/chart" uri="{C3380CC4-5D6E-409C-BE32-E72D297353CC}">
                <c16:uniqueId val="{00000003-E050-4171-81CE-1161F942BEF0}"/>
              </c:ext>
            </c:extLst>
          </c:dPt>
          <c:dPt>
            <c:idx val="2"/>
            <c:invertIfNegative val="0"/>
            <c:bubble3D val="0"/>
            <c:spPr>
              <a:solidFill>
                <a:srgbClr val="9C46A3"/>
              </a:solidFill>
              <a:ln>
                <a:noFill/>
              </a:ln>
              <a:effectLst/>
            </c:spPr>
            <c:extLst>
              <c:ext xmlns:c16="http://schemas.microsoft.com/office/drawing/2014/chart" uri="{C3380CC4-5D6E-409C-BE32-E72D297353CC}">
                <c16:uniqueId val="{00000005-E050-4171-81CE-1161F942BEF0}"/>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workings!$D$6:$D$8</c:f>
              <c:strCache>
                <c:ptCount val="3"/>
                <c:pt idx="0">
                  <c:v>2020-21</c:v>
                </c:pt>
                <c:pt idx="1">
                  <c:v>2021-22</c:v>
                </c:pt>
                <c:pt idx="2">
                  <c:v>2022-23</c:v>
                </c:pt>
              </c:strCache>
            </c:strRef>
          </c:cat>
          <c:val>
            <c:numRef>
              <c:f>workings!$E$6:$E$8</c:f>
              <c:numCache>
                <c:formatCode>0.0</c:formatCode>
                <c:ptCount val="3"/>
                <c:pt idx="0">
                  <c:v>99.56</c:v>
                </c:pt>
                <c:pt idx="1">
                  <c:v>99.56</c:v>
                </c:pt>
                <c:pt idx="2">
                  <c:v>99.54</c:v>
                </c:pt>
              </c:numCache>
            </c:numRef>
          </c:val>
          <c:extLst>
            <c:ext xmlns:c16="http://schemas.microsoft.com/office/drawing/2014/chart" uri="{C3380CC4-5D6E-409C-BE32-E72D297353CC}">
              <c16:uniqueId val="{0000000A-B244-4F9C-AF73-548ADD64F98E}"/>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network.xlsx]workings!NW</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North West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787C9"/>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C46A3"/>
          </a:solidFill>
          <a:ln>
            <a:noFill/>
          </a:ln>
          <a:effectLst/>
        </c:spPr>
      </c:pivotFmt>
      <c:pivotFmt>
        <c:idx val="7"/>
        <c:spPr>
          <a:solidFill>
            <a:srgbClr val="9C46A3"/>
          </a:solidFill>
          <a:ln>
            <a:noFill/>
          </a:ln>
          <a:effectLst/>
        </c:spPr>
      </c:pivotFmt>
      <c:pivotFmt>
        <c:idx val="8"/>
        <c:spPr>
          <a:solidFill>
            <a:srgbClr val="8392C3"/>
          </a:solidFill>
          <a:ln>
            <a:noFill/>
          </a:ln>
          <a:effectLst/>
        </c:spPr>
      </c:pivotFmt>
      <c:pivotFmt>
        <c:idx val="9"/>
        <c:spPr>
          <a:solidFill>
            <a:srgbClr val="8392C3"/>
          </a:solidFill>
          <a:ln>
            <a:noFill/>
          </a:ln>
          <a:effectLst/>
        </c:spPr>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9C46A3"/>
          </a:solidFill>
          <a:ln>
            <a:noFill/>
          </a:ln>
          <a:effectLst/>
        </c:spPr>
      </c:pivotFmt>
      <c:pivotFmt>
        <c:idx val="14"/>
        <c:spPr>
          <a:solidFill>
            <a:srgbClr val="9C46A3"/>
          </a:solidFill>
          <a:ln>
            <a:noFill/>
          </a:ln>
          <a:effectLst/>
        </c:spPr>
      </c:pivotFmt>
    </c:pivotFmts>
    <c:plotArea>
      <c:layout>
        <c:manualLayout>
          <c:layoutTarget val="inner"/>
          <c:xMode val="edge"/>
          <c:yMode val="edge"/>
          <c:x val="0"/>
          <c:y val="0.14170221951427209"/>
          <c:w val="1"/>
          <c:h val="0.68061484697477892"/>
        </c:manualLayout>
      </c:layout>
      <c:barChart>
        <c:barDir val="col"/>
        <c:grouping val="clustered"/>
        <c:varyColors val="0"/>
        <c:ser>
          <c:idx val="0"/>
          <c:order val="0"/>
          <c:tx>
            <c:strRef>
              <c:f>workings!$H$5</c:f>
              <c:strCache>
                <c:ptCount val="1"/>
                <c:pt idx="0">
                  <c:v>Total</c:v>
                </c:pt>
              </c:strCache>
            </c:strRef>
          </c:tx>
          <c:spPr>
            <a:solidFill>
              <a:srgbClr val="8787C9"/>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65FF-4433-BDA7-111FAB7C5FED}"/>
              </c:ext>
            </c:extLst>
          </c:dPt>
          <c:dPt>
            <c:idx val="1"/>
            <c:invertIfNegative val="0"/>
            <c:bubble3D val="0"/>
            <c:spPr>
              <a:solidFill>
                <a:srgbClr val="9C46A3"/>
              </a:solidFill>
              <a:ln>
                <a:noFill/>
              </a:ln>
              <a:effectLst/>
            </c:spPr>
            <c:extLst>
              <c:ext xmlns:c16="http://schemas.microsoft.com/office/drawing/2014/chart" uri="{C3380CC4-5D6E-409C-BE32-E72D297353CC}">
                <c16:uniqueId val="{00000003-65FF-4433-BDA7-111FAB7C5FED}"/>
              </c:ext>
            </c:extLst>
          </c:dPt>
          <c:dPt>
            <c:idx val="2"/>
            <c:invertIfNegative val="0"/>
            <c:bubble3D val="0"/>
            <c:spPr>
              <a:solidFill>
                <a:srgbClr val="9C46A3"/>
              </a:solidFill>
              <a:ln>
                <a:noFill/>
              </a:ln>
              <a:effectLst/>
            </c:spPr>
            <c:extLst>
              <c:ext xmlns:c16="http://schemas.microsoft.com/office/drawing/2014/chart" uri="{C3380CC4-5D6E-409C-BE32-E72D297353CC}">
                <c16:uniqueId val="{00000005-65FF-4433-BDA7-111FAB7C5FED}"/>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workings!$G$6:$G$8</c:f>
              <c:strCache>
                <c:ptCount val="3"/>
                <c:pt idx="0">
                  <c:v>2020-21</c:v>
                </c:pt>
                <c:pt idx="1">
                  <c:v>2021-22</c:v>
                </c:pt>
                <c:pt idx="2">
                  <c:v>2022-23</c:v>
                </c:pt>
              </c:strCache>
            </c:strRef>
          </c:cat>
          <c:val>
            <c:numRef>
              <c:f>workings!$H$6:$H$8</c:f>
              <c:numCache>
                <c:formatCode>0.0</c:formatCode>
                <c:ptCount val="3"/>
                <c:pt idx="0">
                  <c:v>99.64</c:v>
                </c:pt>
                <c:pt idx="1">
                  <c:v>99.66</c:v>
                </c:pt>
                <c:pt idx="2">
                  <c:v>99.77</c:v>
                </c:pt>
              </c:numCache>
            </c:numRef>
          </c:val>
          <c:extLst>
            <c:ext xmlns:c16="http://schemas.microsoft.com/office/drawing/2014/chart" uri="{C3380CC4-5D6E-409C-BE32-E72D297353CC}">
              <c16:uniqueId val="{0000000C-F283-4AA3-835A-306987586477}"/>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network.xlsx]workings!Midlands</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Midlands</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787C9"/>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C46A3"/>
          </a:solidFill>
          <a:ln>
            <a:noFill/>
          </a:ln>
          <a:effectLst/>
        </c:spPr>
      </c:pivotFmt>
      <c:pivotFmt>
        <c:idx val="7"/>
        <c:spPr>
          <a:solidFill>
            <a:srgbClr val="9C46A3"/>
          </a:solidFill>
          <a:ln>
            <a:noFill/>
          </a:ln>
          <a:effectLst/>
        </c:spPr>
      </c:pivotFmt>
      <c:pivotFmt>
        <c:idx val="8"/>
        <c:spPr>
          <a:solidFill>
            <a:srgbClr val="8392C3"/>
          </a:solidFill>
          <a:ln>
            <a:noFill/>
          </a:ln>
          <a:effectLst/>
        </c:spPr>
      </c:pivotFmt>
      <c:pivotFmt>
        <c:idx val="9"/>
        <c:spPr>
          <a:solidFill>
            <a:srgbClr val="8392C3"/>
          </a:solidFill>
          <a:ln>
            <a:noFill/>
          </a:ln>
          <a:effectLst/>
        </c:spPr>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9C46A3"/>
          </a:solidFill>
          <a:ln>
            <a:noFill/>
          </a:ln>
          <a:effectLst/>
        </c:spPr>
      </c:pivotFmt>
      <c:pivotFmt>
        <c:idx val="14"/>
        <c:spPr>
          <a:solidFill>
            <a:srgbClr val="9C46A3"/>
          </a:solidFill>
          <a:ln>
            <a:noFill/>
          </a:ln>
          <a:effectLst/>
        </c:spPr>
      </c:pivotFmt>
    </c:pivotFmts>
    <c:plotArea>
      <c:layout>
        <c:manualLayout>
          <c:layoutTarget val="inner"/>
          <c:xMode val="edge"/>
          <c:yMode val="edge"/>
          <c:x val="0"/>
          <c:y val="0.14170221951427209"/>
          <c:w val="1"/>
          <c:h val="0.68061484697477892"/>
        </c:manualLayout>
      </c:layout>
      <c:barChart>
        <c:barDir val="col"/>
        <c:grouping val="clustered"/>
        <c:varyColors val="0"/>
        <c:ser>
          <c:idx val="0"/>
          <c:order val="0"/>
          <c:tx>
            <c:strRef>
              <c:f>workings!$K$5</c:f>
              <c:strCache>
                <c:ptCount val="1"/>
                <c:pt idx="0">
                  <c:v>Total</c:v>
                </c:pt>
              </c:strCache>
            </c:strRef>
          </c:tx>
          <c:spPr>
            <a:solidFill>
              <a:srgbClr val="8787C9"/>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E6C0-45D6-B042-BFC2C1634818}"/>
              </c:ext>
            </c:extLst>
          </c:dPt>
          <c:dPt>
            <c:idx val="1"/>
            <c:invertIfNegative val="0"/>
            <c:bubble3D val="0"/>
            <c:spPr>
              <a:solidFill>
                <a:srgbClr val="9C46A3"/>
              </a:solidFill>
              <a:ln>
                <a:noFill/>
              </a:ln>
              <a:effectLst/>
            </c:spPr>
            <c:extLst>
              <c:ext xmlns:c16="http://schemas.microsoft.com/office/drawing/2014/chart" uri="{C3380CC4-5D6E-409C-BE32-E72D297353CC}">
                <c16:uniqueId val="{00000003-E6C0-45D6-B042-BFC2C1634818}"/>
              </c:ext>
            </c:extLst>
          </c:dPt>
          <c:dPt>
            <c:idx val="2"/>
            <c:invertIfNegative val="0"/>
            <c:bubble3D val="0"/>
            <c:spPr>
              <a:solidFill>
                <a:srgbClr val="9C46A3"/>
              </a:solidFill>
              <a:ln>
                <a:noFill/>
              </a:ln>
              <a:effectLst/>
            </c:spPr>
            <c:extLst>
              <c:ext xmlns:c16="http://schemas.microsoft.com/office/drawing/2014/chart" uri="{C3380CC4-5D6E-409C-BE32-E72D297353CC}">
                <c16:uniqueId val="{00000005-E6C0-45D6-B042-BFC2C1634818}"/>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workings!$J$6:$J$8</c:f>
              <c:strCache>
                <c:ptCount val="3"/>
                <c:pt idx="0">
                  <c:v>2020-21</c:v>
                </c:pt>
                <c:pt idx="1">
                  <c:v>2021-22</c:v>
                </c:pt>
                <c:pt idx="2">
                  <c:v>2022-23</c:v>
                </c:pt>
              </c:strCache>
            </c:strRef>
          </c:cat>
          <c:val>
            <c:numRef>
              <c:f>workings!$K$6:$K$8</c:f>
              <c:numCache>
                <c:formatCode>0.0</c:formatCode>
                <c:ptCount val="3"/>
                <c:pt idx="0">
                  <c:v>99.66</c:v>
                </c:pt>
                <c:pt idx="1">
                  <c:v>99.51</c:v>
                </c:pt>
                <c:pt idx="2">
                  <c:v>99.66</c:v>
                </c:pt>
              </c:numCache>
            </c:numRef>
          </c:val>
          <c:extLst>
            <c:ext xmlns:c16="http://schemas.microsoft.com/office/drawing/2014/chart" uri="{C3380CC4-5D6E-409C-BE32-E72D297353CC}">
              <c16:uniqueId val="{0000000C-C551-474C-8EFA-1C2814A01FF7}"/>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network.xlsx]workings!East</c:name>
    <c:fmtId val="7"/>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East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C46A3"/>
          </a:solidFill>
          <a:ln>
            <a:noFill/>
          </a:ln>
          <a:effectLst/>
        </c:spPr>
      </c:pivotFmt>
      <c:pivotFmt>
        <c:idx val="7"/>
      </c:pivotFmt>
      <c:pivotFmt>
        <c:idx val="8"/>
        <c:spPr>
          <a:solidFill>
            <a:srgbClr val="9C46A3"/>
          </a:solidFill>
          <a:ln>
            <a:noFill/>
          </a:ln>
          <a:effectLst/>
        </c:spPr>
      </c:pivotFmt>
      <c:pivotFmt>
        <c:idx val="9"/>
      </c:pivotFmt>
      <c:pivotFmt>
        <c:idx val="10"/>
      </c:pivotFmt>
      <c:pivotFmt>
        <c:idx val="11"/>
      </c:pivotFmt>
      <c:pivotFmt>
        <c:idx val="12"/>
      </c:pivotFmt>
      <c:pivotFmt>
        <c:idx val="13"/>
      </c:pivotFmt>
      <c:pivotFmt>
        <c:idx val="14"/>
      </c:pivotFmt>
    </c:pivotFmts>
    <c:plotArea>
      <c:layout>
        <c:manualLayout>
          <c:layoutTarget val="inner"/>
          <c:xMode val="edge"/>
          <c:yMode val="edge"/>
          <c:x val="0"/>
          <c:y val="0.12912697432999687"/>
          <c:w val="1"/>
          <c:h val="0.68061484697477892"/>
        </c:manualLayout>
      </c:layout>
      <c:barChart>
        <c:barDir val="col"/>
        <c:grouping val="clustered"/>
        <c:varyColors val="0"/>
        <c:ser>
          <c:idx val="0"/>
          <c:order val="0"/>
          <c:tx>
            <c:strRef>
              <c:f>workings!$N$5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A200-4103-A23C-720D486B6597}"/>
              </c:ext>
            </c:extLst>
          </c:dPt>
          <c:dPt>
            <c:idx val="1"/>
            <c:invertIfNegative val="0"/>
            <c:bubble3D val="0"/>
            <c:extLst>
              <c:ext xmlns:c16="http://schemas.microsoft.com/office/drawing/2014/chart" uri="{C3380CC4-5D6E-409C-BE32-E72D297353CC}">
                <c16:uniqueId val="{00000003-A200-4103-A23C-720D486B6597}"/>
              </c:ext>
            </c:extLst>
          </c:dPt>
          <c:dPt>
            <c:idx val="2"/>
            <c:invertIfNegative val="0"/>
            <c:bubble3D val="0"/>
            <c:extLst>
              <c:ext xmlns:c16="http://schemas.microsoft.com/office/drawing/2014/chart" uri="{C3380CC4-5D6E-409C-BE32-E72D297353CC}">
                <c16:uniqueId val="{00000005-A200-4103-A23C-720D486B6597}"/>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workings!$M$6:$M$8</c:f>
              <c:strCache>
                <c:ptCount val="3"/>
                <c:pt idx="0">
                  <c:v>2020-21</c:v>
                </c:pt>
                <c:pt idx="1">
                  <c:v>2021-22</c:v>
                </c:pt>
                <c:pt idx="2">
                  <c:v>2022-23</c:v>
                </c:pt>
              </c:strCache>
            </c:strRef>
          </c:cat>
          <c:val>
            <c:numRef>
              <c:f>workings!$N$6:$N$8</c:f>
              <c:numCache>
                <c:formatCode>0.0</c:formatCode>
                <c:ptCount val="3"/>
                <c:pt idx="0">
                  <c:v>99.46</c:v>
                </c:pt>
                <c:pt idx="1">
                  <c:v>99.51</c:v>
                </c:pt>
                <c:pt idx="2">
                  <c:v>99.59</c:v>
                </c:pt>
              </c:numCache>
            </c:numRef>
          </c:val>
          <c:extLst>
            <c:ext xmlns:c16="http://schemas.microsoft.com/office/drawing/2014/chart" uri="{C3380CC4-5D6E-409C-BE32-E72D297353CC}">
              <c16:uniqueId val="{0000000A-9801-4B54-8E3D-62696DF333AC}"/>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network.xlsx]workings!SE</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South East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9C46A3"/>
          </a:solidFill>
          <a:ln>
            <a:noFill/>
          </a:ln>
          <a:effectLst/>
        </c:spPr>
      </c:pivotFmt>
      <c:pivotFmt>
        <c:idx val="12"/>
      </c:pivotFmt>
      <c:pivotFmt>
        <c:idx val="13"/>
        <c:spPr>
          <a:solidFill>
            <a:srgbClr val="9C46A3"/>
          </a:solidFill>
          <a:ln>
            <a:noFill/>
          </a:ln>
          <a:effectLst/>
        </c:spPr>
      </c:pivotFmt>
      <c:pivotFmt>
        <c:idx val="14"/>
      </c:pivotFmt>
      <c:pivotFmt>
        <c:idx val="15"/>
      </c:pivotFmt>
      <c:pivotFmt>
        <c:idx val="16"/>
      </c:pivotFmt>
      <c:pivotFmt>
        <c:idx val="17"/>
      </c:pivotFmt>
      <c:pivotFmt>
        <c:idx val="18"/>
      </c:pivotFmt>
      <c:pivotFmt>
        <c:idx val="19"/>
      </c:pivotFmt>
    </c:pivotFmts>
    <c:plotArea>
      <c:layout>
        <c:manualLayout>
          <c:layoutTarget val="inner"/>
          <c:xMode val="edge"/>
          <c:yMode val="edge"/>
          <c:x val="0"/>
          <c:y val="0.14170221951427209"/>
          <c:w val="1"/>
          <c:h val="0.68061484697477892"/>
        </c:manualLayout>
      </c:layout>
      <c:barChart>
        <c:barDir val="col"/>
        <c:grouping val="clustered"/>
        <c:varyColors val="0"/>
        <c:ser>
          <c:idx val="0"/>
          <c:order val="0"/>
          <c:tx>
            <c:strRef>
              <c:f>workings!$Q$5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A23A-4BAA-AEC2-A54A882F1CC1}"/>
              </c:ext>
            </c:extLst>
          </c:dPt>
          <c:dPt>
            <c:idx val="1"/>
            <c:invertIfNegative val="0"/>
            <c:bubble3D val="0"/>
            <c:extLst>
              <c:ext xmlns:c16="http://schemas.microsoft.com/office/drawing/2014/chart" uri="{C3380CC4-5D6E-409C-BE32-E72D297353CC}">
                <c16:uniqueId val="{00000003-A23A-4BAA-AEC2-A54A882F1CC1}"/>
              </c:ext>
            </c:extLst>
          </c:dPt>
          <c:dPt>
            <c:idx val="2"/>
            <c:invertIfNegative val="0"/>
            <c:bubble3D val="0"/>
            <c:extLst>
              <c:ext xmlns:c16="http://schemas.microsoft.com/office/drawing/2014/chart" uri="{C3380CC4-5D6E-409C-BE32-E72D297353CC}">
                <c16:uniqueId val="{00000005-A23A-4BAA-AEC2-A54A882F1CC1}"/>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workings!$P$6:$P$8</c:f>
              <c:strCache>
                <c:ptCount val="3"/>
                <c:pt idx="0">
                  <c:v>2020-21</c:v>
                </c:pt>
                <c:pt idx="1">
                  <c:v>2021-22</c:v>
                </c:pt>
                <c:pt idx="2">
                  <c:v>2022-23</c:v>
                </c:pt>
              </c:strCache>
            </c:strRef>
          </c:cat>
          <c:val>
            <c:numRef>
              <c:f>workings!$Q$6:$Q$8</c:f>
              <c:numCache>
                <c:formatCode>0.0</c:formatCode>
                <c:ptCount val="3"/>
                <c:pt idx="0">
                  <c:v>99.66</c:v>
                </c:pt>
                <c:pt idx="1">
                  <c:v>99.550000000000011</c:v>
                </c:pt>
                <c:pt idx="2">
                  <c:v>99.65</c:v>
                </c:pt>
              </c:numCache>
            </c:numRef>
          </c:val>
          <c:extLst>
            <c:ext xmlns:c16="http://schemas.microsoft.com/office/drawing/2014/chart" uri="{C3380CC4-5D6E-409C-BE32-E72D297353CC}">
              <c16:uniqueId val="{0000000A-5F56-4198-98B6-EADCC3F3726B}"/>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3 - Outcome area 3_ A well maintained and resilient network.xlsx]workings!SW</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South West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9C46A3"/>
          </a:solidFill>
          <a:ln>
            <a:noFill/>
          </a:ln>
          <a:effectLst/>
        </c:spPr>
      </c:pivotFmt>
      <c:pivotFmt>
        <c:idx val="15"/>
      </c:pivotFmt>
      <c:pivotFmt>
        <c:idx val="16"/>
        <c:spPr>
          <a:solidFill>
            <a:srgbClr val="9C46A3"/>
          </a:solidFill>
          <a:ln>
            <a:noFill/>
          </a:ln>
          <a:effectLst/>
        </c:spPr>
      </c:pivotFmt>
      <c:pivotFmt>
        <c:idx val="17"/>
      </c:pivotFmt>
      <c:pivotFmt>
        <c:idx val="18"/>
      </c:pivotFmt>
      <c:pivotFmt>
        <c:idx val="19"/>
      </c:pivotFmt>
      <c:pivotFmt>
        <c:idx val="20"/>
      </c:pivotFmt>
      <c:pivotFmt>
        <c:idx val="21"/>
      </c:pivotFmt>
      <c:pivotFmt>
        <c:idx val="22"/>
      </c:pivotFmt>
    </c:pivotFmts>
    <c:plotArea>
      <c:layout>
        <c:manualLayout>
          <c:layoutTarget val="inner"/>
          <c:xMode val="edge"/>
          <c:yMode val="edge"/>
          <c:x val="0"/>
          <c:y val="0.14170221951427209"/>
          <c:w val="1"/>
          <c:h val="0.68061484697477892"/>
        </c:manualLayout>
      </c:layout>
      <c:barChart>
        <c:barDir val="col"/>
        <c:grouping val="clustered"/>
        <c:varyColors val="0"/>
        <c:ser>
          <c:idx val="0"/>
          <c:order val="0"/>
          <c:tx>
            <c:strRef>
              <c:f>workings!$T$5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6DD4-43B9-AE98-C539F3EB4CBC}"/>
              </c:ext>
            </c:extLst>
          </c:dPt>
          <c:dPt>
            <c:idx val="1"/>
            <c:invertIfNegative val="0"/>
            <c:bubble3D val="0"/>
            <c:extLst>
              <c:ext xmlns:c16="http://schemas.microsoft.com/office/drawing/2014/chart" uri="{C3380CC4-5D6E-409C-BE32-E72D297353CC}">
                <c16:uniqueId val="{00000003-6DD4-43B9-AE98-C539F3EB4CBC}"/>
              </c:ext>
            </c:extLst>
          </c:dPt>
          <c:dPt>
            <c:idx val="2"/>
            <c:invertIfNegative val="0"/>
            <c:bubble3D val="0"/>
            <c:extLst>
              <c:ext xmlns:c16="http://schemas.microsoft.com/office/drawing/2014/chart" uri="{C3380CC4-5D6E-409C-BE32-E72D297353CC}">
                <c16:uniqueId val="{00000005-6DD4-43B9-AE98-C539F3EB4CBC}"/>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workings!$S$6:$S$8</c:f>
              <c:strCache>
                <c:ptCount val="3"/>
                <c:pt idx="0">
                  <c:v>2020-21</c:v>
                </c:pt>
                <c:pt idx="1">
                  <c:v>2021-22</c:v>
                </c:pt>
                <c:pt idx="2">
                  <c:v>2022-23</c:v>
                </c:pt>
              </c:strCache>
            </c:strRef>
          </c:cat>
          <c:val>
            <c:numRef>
              <c:f>workings!$T$6:$T$8</c:f>
              <c:numCache>
                <c:formatCode>0.0</c:formatCode>
                <c:ptCount val="3"/>
                <c:pt idx="0">
                  <c:v>99.61</c:v>
                </c:pt>
                <c:pt idx="1">
                  <c:v>99.62</c:v>
                </c:pt>
                <c:pt idx="2">
                  <c:v>99.6</c:v>
                </c:pt>
              </c:numCache>
            </c:numRef>
          </c:val>
          <c:extLst>
            <c:ext xmlns:c16="http://schemas.microsoft.com/office/drawing/2014/chart" uri="{C3380CC4-5D6E-409C-BE32-E72D297353CC}">
              <c16:uniqueId val="{0000000A-0877-44F5-90A0-2769D7CD9FA4}"/>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19</xdr:col>
      <xdr:colOff>534987</xdr:colOff>
      <xdr:row>0</xdr:row>
      <xdr:rowOff>1756</xdr:rowOff>
    </xdr:from>
    <xdr:to>
      <xdr:col>22</xdr:col>
      <xdr:colOff>331234</xdr:colOff>
      <xdr:row>3</xdr:row>
      <xdr:rowOff>0</xdr:rowOff>
    </xdr:to>
    <xdr:pic>
      <xdr:nvPicPr>
        <xdr:cNvPr id="3" name="Picture 2" descr="Office of Rail and Road's logo&#10;">
          <a:extLst>
            <a:ext uri="{FF2B5EF4-FFF2-40B4-BE49-F238E27FC236}">
              <a16:creationId xmlns:a16="http://schemas.microsoft.com/office/drawing/2014/main" id="{9B0CCD0A-3A0F-48CA-AF17-867EF0A509FF}"/>
            </a:ext>
          </a:extLst>
        </xdr:cNvPr>
        <xdr:cNvPicPr>
          <a:picLocks noChangeAspect="1"/>
        </xdr:cNvPicPr>
      </xdr:nvPicPr>
      <xdr:blipFill>
        <a:blip xmlns:r="http://schemas.openxmlformats.org/officeDocument/2006/relationships" r:embed="rId1"/>
        <a:stretch>
          <a:fillRect/>
        </a:stretch>
      </xdr:blipFill>
      <xdr:spPr>
        <a:xfrm>
          <a:off x="12339637" y="1756"/>
          <a:ext cx="1605997" cy="615619"/>
        </a:xfrm>
        <a:prstGeom prst="rect">
          <a:avLst/>
        </a:prstGeom>
      </xdr:spPr>
    </xdr:pic>
    <xdr:clientData/>
  </xdr:twoCellAnchor>
  <xdr:twoCellAnchor>
    <xdr:from>
      <xdr:col>19</xdr:col>
      <xdr:colOff>317509</xdr:colOff>
      <xdr:row>3</xdr:row>
      <xdr:rowOff>34000</xdr:rowOff>
    </xdr:from>
    <xdr:to>
      <xdr:col>22</xdr:col>
      <xdr:colOff>194612</xdr:colOff>
      <xdr:row>3</xdr:row>
      <xdr:rowOff>231824</xdr:rowOff>
    </xdr:to>
    <xdr:sp macro="" textlink="">
      <xdr:nvSpPr>
        <xdr:cNvPr id="4" name="TextBox 3">
          <a:extLst>
            <a:ext uri="{FF2B5EF4-FFF2-40B4-BE49-F238E27FC236}">
              <a16:creationId xmlns:a16="http://schemas.microsoft.com/office/drawing/2014/main" id="{E6018AAB-474F-4D32-9556-613D5FA7FD89}"/>
            </a:ext>
          </a:extLst>
        </xdr:cNvPr>
        <xdr:cNvSpPr txBox="1"/>
      </xdr:nvSpPr>
      <xdr:spPr>
        <a:xfrm>
          <a:off x="12122159" y="770600"/>
          <a:ext cx="1686853" cy="147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2023</a:t>
          </a:r>
        </a:p>
      </xdr:txBody>
    </xdr:sp>
    <xdr:clientData/>
  </xdr:twoCellAnchor>
  <xdr:twoCellAnchor>
    <xdr:from>
      <xdr:col>1</xdr:col>
      <xdr:colOff>45379</xdr:colOff>
      <xdr:row>8</xdr:row>
      <xdr:rowOff>93632</xdr:rowOff>
    </xdr:from>
    <xdr:to>
      <xdr:col>5</xdr:col>
      <xdr:colOff>322262</xdr:colOff>
      <xdr:row>23</xdr:row>
      <xdr:rowOff>80132</xdr:rowOff>
    </xdr:to>
    <xdr:sp macro="" textlink="">
      <xdr:nvSpPr>
        <xdr:cNvPr id="6" name="Rectangle 5">
          <a:extLst>
            <a:ext uri="{FF2B5EF4-FFF2-40B4-BE49-F238E27FC236}">
              <a16:creationId xmlns:a16="http://schemas.microsoft.com/office/drawing/2014/main" id="{3DF0065E-A3C7-4770-BC52-64B3D8825882}"/>
            </a:ext>
            <a:ext uri="{C183D7F6-B498-43B3-948B-1728B52AA6E4}">
              <adec:decorative xmlns:adec="http://schemas.microsoft.com/office/drawing/2017/decorative" val="1"/>
            </a:ext>
          </a:extLst>
        </xdr:cNvPr>
        <xdr:cNvSpPr/>
      </xdr:nvSpPr>
      <xdr:spPr>
        <a:xfrm>
          <a:off x="672908" y="2368426"/>
          <a:ext cx="2787001" cy="2844000"/>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474436</xdr:colOff>
      <xdr:row>8</xdr:row>
      <xdr:rowOff>102705</xdr:rowOff>
    </xdr:from>
    <xdr:to>
      <xdr:col>14</xdr:col>
      <xdr:colOff>124707</xdr:colOff>
      <xdr:row>15</xdr:row>
      <xdr:rowOff>65205</xdr:rowOff>
    </xdr:to>
    <xdr:sp macro="" textlink="">
      <xdr:nvSpPr>
        <xdr:cNvPr id="10" name="Rectangle 9" descr="Shows best and worst performing region and comparison to National Highways.">
          <a:extLst>
            <a:ext uri="{FF2B5EF4-FFF2-40B4-BE49-F238E27FC236}">
              <a16:creationId xmlns:a16="http://schemas.microsoft.com/office/drawing/2014/main" id="{6DE9ACD6-0234-429D-BC7B-CA3DBE856EC1}"/>
            </a:ext>
          </a:extLst>
        </xdr:cNvPr>
        <xdr:cNvSpPr/>
      </xdr:nvSpPr>
      <xdr:spPr>
        <a:xfrm>
          <a:off x="3612083" y="2377499"/>
          <a:ext cx="5847124" cy="1296000"/>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474435</xdr:colOff>
      <xdr:row>69</xdr:row>
      <xdr:rowOff>85909</xdr:rowOff>
    </xdr:from>
    <xdr:to>
      <xdr:col>22</xdr:col>
      <xdr:colOff>2012</xdr:colOff>
      <xdr:row>85</xdr:row>
      <xdr:rowOff>75784</xdr:rowOff>
    </xdr:to>
    <xdr:grpSp>
      <xdr:nvGrpSpPr>
        <xdr:cNvPr id="31" name="Group 30" descr="Shows commentary notes and change in methodology.">
          <a:extLst>
            <a:ext uri="{FF2B5EF4-FFF2-40B4-BE49-F238E27FC236}">
              <a16:creationId xmlns:a16="http://schemas.microsoft.com/office/drawing/2014/main" id="{06778A8D-59B9-C1D5-6188-B3CB0D5A975C}"/>
            </a:ext>
          </a:extLst>
        </xdr:cNvPr>
        <xdr:cNvGrpSpPr/>
      </xdr:nvGrpSpPr>
      <xdr:grpSpPr>
        <a:xfrm>
          <a:off x="3331935" y="14141238"/>
          <a:ext cx="10350358" cy="3037875"/>
          <a:chOff x="3530373" y="14575021"/>
          <a:chExt cx="10116202" cy="3276000"/>
        </a:xfrm>
      </xdr:grpSpPr>
      <xdr:sp macro="" textlink="">
        <xdr:nvSpPr>
          <xdr:cNvPr id="15" name="Rectangle 14">
            <a:extLst>
              <a:ext uri="{FF2B5EF4-FFF2-40B4-BE49-F238E27FC236}">
                <a16:creationId xmlns:a16="http://schemas.microsoft.com/office/drawing/2014/main" id="{47C900C5-1EE7-71B5-5FB3-C259563DFDFB}"/>
              </a:ext>
            </a:extLst>
          </xdr:cNvPr>
          <xdr:cNvSpPr/>
        </xdr:nvSpPr>
        <xdr:spPr>
          <a:xfrm>
            <a:off x="3530373" y="14575021"/>
            <a:ext cx="10116202" cy="3276000"/>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6" name="TextBox 15">
            <a:extLst>
              <a:ext uri="{FF2B5EF4-FFF2-40B4-BE49-F238E27FC236}">
                <a16:creationId xmlns:a16="http://schemas.microsoft.com/office/drawing/2014/main" id="{9321C5D1-76E3-2EA3-D712-08FCEA091997}"/>
              </a:ext>
            </a:extLst>
          </xdr:cNvPr>
          <xdr:cNvSpPr txBox="1"/>
        </xdr:nvSpPr>
        <xdr:spPr>
          <a:xfrm>
            <a:off x="3698911" y="14733520"/>
            <a:ext cx="9900000" cy="3086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Black" panose="020B0A04020102020204" pitchFamily="34" charset="0"/>
                <a:cs typeface="Arial" panose="020B0604020202020204" pitchFamily="34" charset="0"/>
              </a:rPr>
              <a:t>Notes </a:t>
            </a:r>
          </a:p>
          <a:p>
            <a:endParaRPr lang="en-GB" sz="1200" b="0">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1. Excludes Design, Build, Finance and Operate (DBFO) areas.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 Pavement condition KPI - change in methodology introduced in 2022-23.</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 Structures condition PI - privately owned structures are not included.</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 Technology availability</a:t>
            </a:r>
            <a:r>
              <a:rPr lang="en-GB" sz="1200" b="0" baseline="0">
                <a:effectLst/>
                <a:latin typeface="Arial" panose="020B0604020202020204" pitchFamily="34" charset="0"/>
                <a:cs typeface="Arial" panose="020B0604020202020204" pitchFamily="34" charset="0"/>
              </a:rPr>
              <a:t> PI - </a:t>
            </a:r>
            <a:r>
              <a:rPr lang="en-GB" sz="1200" b="0">
                <a:effectLst/>
                <a:latin typeface="Arial" panose="020B0604020202020204" pitchFamily="34" charset="0"/>
                <a:cs typeface="Arial" panose="020B0604020202020204" pitchFamily="34" charset="0"/>
              </a:rPr>
              <a:t>This metric is a new metric for road period 2. Metric covers all roadside technology assets on all trunk roads and motorways forming the strategic road network including sections of the M25 managed by DBFO organisations. This metric does not include the Regional Control Centres or National Road Telecommunications Services.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5. Coverage</a:t>
            </a:r>
            <a:r>
              <a:rPr lang="en-GB" sz="1200" b="0" baseline="0">
                <a:effectLst/>
                <a:latin typeface="Arial" panose="020B0604020202020204" pitchFamily="34" charset="0"/>
                <a:cs typeface="Arial" panose="020B0604020202020204" pitchFamily="34" charset="0"/>
              </a:rPr>
              <a:t> includes a</a:t>
            </a:r>
            <a:r>
              <a:rPr lang="en-GB" sz="1200" b="0">
                <a:effectLst/>
                <a:latin typeface="Arial" panose="020B0604020202020204" pitchFamily="34" charset="0"/>
                <a:cs typeface="Arial" panose="020B0604020202020204" pitchFamily="34" charset="0"/>
              </a:rPr>
              <a:t>ll trunk roads and motorways forming the strategic road network except DBFO contracts but including the M25.</a:t>
            </a:r>
          </a:p>
          <a:p>
            <a:endParaRPr lang="en-GB" sz="1200" b="0">
              <a:effectLst/>
              <a:latin typeface="Arial" panose="020B0604020202020204" pitchFamily="34" charset="0"/>
              <a:cs typeface="Arial" panose="020B0604020202020204" pitchFamily="34" charset="0"/>
            </a:endParaRPr>
          </a:p>
        </xdr:txBody>
      </xdr:sp>
    </xdr:grpSp>
    <xdr:clientData/>
  </xdr:twoCellAnchor>
  <xdr:twoCellAnchor>
    <xdr:from>
      <xdr:col>1</xdr:col>
      <xdr:colOff>123824</xdr:colOff>
      <xdr:row>8</xdr:row>
      <xdr:rowOff>103539</xdr:rowOff>
    </xdr:from>
    <xdr:to>
      <xdr:col>5</xdr:col>
      <xdr:colOff>246063</xdr:colOff>
      <xdr:row>10</xdr:row>
      <xdr:rowOff>93</xdr:rowOff>
    </xdr:to>
    <xdr:sp macro="" textlink="">
      <xdr:nvSpPr>
        <xdr:cNvPr id="17" name="TextBox 16">
          <a:extLst>
            <a:ext uri="{FF2B5EF4-FFF2-40B4-BE49-F238E27FC236}">
              <a16:creationId xmlns:a16="http://schemas.microsoft.com/office/drawing/2014/main" id="{6B733B33-3754-4661-8DC2-BF8C5E02F85D}"/>
            </a:ext>
          </a:extLst>
        </xdr:cNvPr>
        <xdr:cNvSpPr txBox="1"/>
      </xdr:nvSpPr>
      <xdr:spPr>
        <a:xfrm>
          <a:off x="751353" y="2658480"/>
          <a:ext cx="2632357" cy="28876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15</xdr:col>
      <xdr:colOff>16832</xdr:colOff>
      <xdr:row>8</xdr:row>
      <xdr:rowOff>85847</xdr:rowOff>
    </xdr:from>
    <xdr:to>
      <xdr:col>21</xdr:col>
      <xdr:colOff>571656</xdr:colOff>
      <xdr:row>15</xdr:row>
      <xdr:rowOff>48347</xdr:rowOff>
    </xdr:to>
    <xdr:sp macro="" textlink="">
      <xdr:nvSpPr>
        <xdr:cNvPr id="19" name="Rectangle 18" descr="Shows year selection for indicators. Multiple years can be selected by holding down Command or Control. ">
          <a:extLst>
            <a:ext uri="{FF2B5EF4-FFF2-40B4-BE49-F238E27FC236}">
              <a16:creationId xmlns:a16="http://schemas.microsoft.com/office/drawing/2014/main" id="{3B1CFA48-B6F2-4EC3-8452-FB034774971F}"/>
            </a:ext>
          </a:extLst>
        </xdr:cNvPr>
        <xdr:cNvSpPr/>
      </xdr:nvSpPr>
      <xdr:spPr>
        <a:xfrm>
          <a:off x="9642685" y="2360641"/>
          <a:ext cx="4320000" cy="1296000"/>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66345</xdr:colOff>
      <xdr:row>9</xdr:row>
      <xdr:rowOff>190499</xdr:rowOff>
    </xdr:from>
    <xdr:to>
      <xdr:col>5</xdr:col>
      <xdr:colOff>296533</xdr:colOff>
      <xdr:row>23</xdr:row>
      <xdr:rowOff>7499</xdr:rowOff>
    </xdr:to>
    <mc:AlternateContent xmlns:mc="http://schemas.openxmlformats.org/markup-compatibility/2006" xmlns:a14="http://schemas.microsoft.com/office/drawing/2010/main">
      <mc:Choice Requires="a14">
        <xdr:graphicFrame macro="">
          <xdr:nvGraphicFramePr>
            <xdr:cNvPr id="21" name="KPI/PI 1">
              <a:extLst>
                <a:ext uri="{FF2B5EF4-FFF2-40B4-BE49-F238E27FC236}">
                  <a16:creationId xmlns:a16="http://schemas.microsoft.com/office/drawing/2014/main" id="{536E2153-9551-4B0F-BC6E-A950FB2F911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PI/PI 1"/>
            </a:graphicData>
          </a:graphic>
        </xdr:graphicFrame>
      </mc:Choice>
      <mc:Fallback xmlns="">
        <xdr:sp macro="" textlink="">
          <xdr:nvSpPr>
            <xdr:cNvPr id="0" name=""/>
            <xdr:cNvSpPr>
              <a:spLocks noTextEdit="1"/>
            </xdr:cNvSpPr>
          </xdr:nvSpPr>
          <xdr:spPr>
            <a:xfrm>
              <a:off x="688272" y="2661397"/>
              <a:ext cx="2717894" cy="2484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67926</xdr:colOff>
      <xdr:row>8</xdr:row>
      <xdr:rowOff>102197</xdr:rowOff>
    </xdr:from>
    <xdr:to>
      <xdr:col>21</xdr:col>
      <xdr:colOff>550526</xdr:colOff>
      <xdr:row>14</xdr:row>
      <xdr:rowOff>48721</xdr:rowOff>
    </xdr:to>
    <mc:AlternateContent xmlns:mc="http://schemas.openxmlformats.org/markup-compatibility/2006" xmlns:a14="http://schemas.microsoft.com/office/drawing/2010/main">
      <mc:Choice Requires="a14">
        <xdr:graphicFrame macro="">
          <xdr:nvGraphicFramePr>
            <xdr:cNvPr id="22" name="Year 1">
              <a:extLst>
                <a:ext uri="{FF2B5EF4-FFF2-40B4-BE49-F238E27FC236}">
                  <a16:creationId xmlns:a16="http://schemas.microsoft.com/office/drawing/2014/main" id="{58D8259F-84E4-4447-8AE3-65C95CDB256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9643353" y="2382595"/>
              <a:ext cx="4214159" cy="10895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0</xdr:colOff>
      <xdr:row>20</xdr:row>
      <xdr:rowOff>0</xdr:rowOff>
    </xdr:from>
    <xdr:to>
      <xdr:col>22</xdr:col>
      <xdr:colOff>7225</xdr:colOff>
      <xdr:row>35</xdr:row>
      <xdr:rowOff>133312</xdr:rowOff>
    </xdr:to>
    <xdr:graphicFrame macro="">
      <xdr:nvGraphicFramePr>
        <xdr:cNvPr id="23" name="Chart 22" descr="This chart displays performance data for National Highways.">
          <a:extLst>
            <a:ext uri="{FF2B5EF4-FFF2-40B4-BE49-F238E27FC236}">
              <a16:creationId xmlns:a16="http://schemas.microsoft.com/office/drawing/2014/main" id="{3A4117C6-4DCD-4A33-A1A4-38D24C096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468312</xdr:colOff>
      <xdr:row>36</xdr:row>
      <xdr:rowOff>55563</xdr:rowOff>
    </xdr:from>
    <xdr:to>
      <xdr:col>11</xdr:col>
      <xdr:colOff>38887</xdr:colOff>
      <xdr:row>52</xdr:row>
      <xdr:rowOff>37325</xdr:rowOff>
    </xdr:to>
    <xdr:graphicFrame macro="">
      <xdr:nvGraphicFramePr>
        <xdr:cNvPr id="24" name="Chart 23" descr="This chart displays performance data for National Highways Yorkshire and North East region.">
          <a:extLst>
            <a:ext uri="{FF2B5EF4-FFF2-40B4-BE49-F238E27FC236}">
              <a16:creationId xmlns:a16="http://schemas.microsoft.com/office/drawing/2014/main" id="{6D762547-C48F-4D1A-80A3-BAF978C4B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151012</xdr:colOff>
      <xdr:row>36</xdr:row>
      <xdr:rowOff>55563</xdr:rowOff>
    </xdr:from>
    <xdr:to>
      <xdr:col>16</xdr:col>
      <xdr:colOff>237525</xdr:colOff>
      <xdr:row>52</xdr:row>
      <xdr:rowOff>37325</xdr:rowOff>
    </xdr:to>
    <xdr:graphicFrame macro="">
      <xdr:nvGraphicFramePr>
        <xdr:cNvPr id="25" name="Chart 24" descr="This chart displays performance data for National Highways North West region.">
          <a:extLst>
            <a:ext uri="{FF2B5EF4-FFF2-40B4-BE49-F238E27FC236}">
              <a16:creationId xmlns:a16="http://schemas.microsoft.com/office/drawing/2014/main" id="{71CB0B00-EADB-453A-9B53-370D0ECE3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348062</xdr:colOff>
      <xdr:row>36</xdr:row>
      <xdr:rowOff>55563</xdr:rowOff>
    </xdr:from>
    <xdr:to>
      <xdr:col>22</xdr:col>
      <xdr:colOff>5949</xdr:colOff>
      <xdr:row>52</xdr:row>
      <xdr:rowOff>37325</xdr:rowOff>
    </xdr:to>
    <xdr:graphicFrame macro="">
      <xdr:nvGraphicFramePr>
        <xdr:cNvPr id="26" name="Chart 25" descr="This chart displays performance data for National Highways Midland region.">
          <a:extLst>
            <a:ext uri="{FF2B5EF4-FFF2-40B4-BE49-F238E27FC236}">
              <a16:creationId xmlns:a16="http://schemas.microsoft.com/office/drawing/2014/main" id="{AAD7D934-6A1E-4563-B517-EC8A60E5B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474335</xdr:colOff>
      <xdr:row>52</xdr:row>
      <xdr:rowOff>150810</xdr:rowOff>
    </xdr:from>
    <xdr:to>
      <xdr:col>11</xdr:col>
      <xdr:colOff>32863</xdr:colOff>
      <xdr:row>68</xdr:row>
      <xdr:rowOff>132572</xdr:rowOff>
    </xdr:to>
    <xdr:graphicFrame macro="">
      <xdr:nvGraphicFramePr>
        <xdr:cNvPr id="28" name="Chart 27" descr="This chart displays performance data for National Highways East region.">
          <a:extLst>
            <a:ext uri="{FF2B5EF4-FFF2-40B4-BE49-F238E27FC236}">
              <a16:creationId xmlns:a16="http://schemas.microsoft.com/office/drawing/2014/main" id="{DF533F7D-A106-45AC-B269-CEB749B72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151012</xdr:colOff>
      <xdr:row>52</xdr:row>
      <xdr:rowOff>150810</xdr:rowOff>
    </xdr:from>
    <xdr:to>
      <xdr:col>16</xdr:col>
      <xdr:colOff>237525</xdr:colOff>
      <xdr:row>68</xdr:row>
      <xdr:rowOff>132572</xdr:rowOff>
    </xdr:to>
    <xdr:graphicFrame macro="">
      <xdr:nvGraphicFramePr>
        <xdr:cNvPr id="29" name="Chart 28" descr="This chart displays performance data for National Highways South East region.">
          <a:extLst>
            <a:ext uri="{FF2B5EF4-FFF2-40B4-BE49-F238E27FC236}">
              <a16:creationId xmlns:a16="http://schemas.microsoft.com/office/drawing/2014/main" id="{137F5FB3-ABC9-44E3-95A2-E414A91CB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350444</xdr:colOff>
      <xdr:row>52</xdr:row>
      <xdr:rowOff>150810</xdr:rowOff>
    </xdr:from>
    <xdr:to>
      <xdr:col>22</xdr:col>
      <xdr:colOff>3568</xdr:colOff>
      <xdr:row>68</xdr:row>
      <xdr:rowOff>132572</xdr:rowOff>
    </xdr:to>
    <xdr:graphicFrame macro="">
      <xdr:nvGraphicFramePr>
        <xdr:cNvPr id="30" name="Chart 29" descr="This chart displays performance data for National Highways South West region.">
          <a:extLst>
            <a:ext uri="{FF2B5EF4-FFF2-40B4-BE49-F238E27FC236}">
              <a16:creationId xmlns:a16="http://schemas.microsoft.com/office/drawing/2014/main" id="{C28539CD-6F7C-4169-B8D1-40203C0D8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76201</xdr:rowOff>
    </xdr:from>
    <xdr:to>
      <xdr:col>5</xdr:col>
      <xdr:colOff>655637</xdr:colOff>
      <xdr:row>3</xdr:row>
      <xdr:rowOff>19050</xdr:rowOff>
    </xdr:to>
    <mc:AlternateContent xmlns:mc="http://schemas.openxmlformats.org/markup-compatibility/2006" xmlns:a14="http://schemas.microsoft.com/office/drawing/2010/main">
      <mc:Choice Requires="a14">
        <xdr:graphicFrame macro="">
          <xdr:nvGraphicFramePr>
            <xdr:cNvPr id="2" name="Year">
              <a:extLst>
                <a:ext uri="{FF2B5EF4-FFF2-40B4-BE49-F238E27FC236}">
                  <a16:creationId xmlns:a16="http://schemas.microsoft.com/office/drawing/2014/main" id="{E67094BB-1183-C771-461A-8764BBB42242}"/>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14300" y="76201"/>
              <a:ext cx="5257800" cy="4952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698500</xdr:colOff>
      <xdr:row>0</xdr:row>
      <xdr:rowOff>107951</xdr:rowOff>
    </xdr:from>
    <xdr:to>
      <xdr:col>15</xdr:col>
      <xdr:colOff>515937</xdr:colOff>
      <xdr:row>3</xdr:row>
      <xdr:rowOff>171451</xdr:rowOff>
    </xdr:to>
    <mc:AlternateContent xmlns:mc="http://schemas.openxmlformats.org/markup-compatibility/2006" xmlns:a14="http://schemas.microsoft.com/office/drawing/2010/main">
      <mc:Choice Requires="a14">
        <xdr:graphicFrame macro="">
          <xdr:nvGraphicFramePr>
            <xdr:cNvPr id="3" name="KPI/PI">
              <a:extLst>
                <a:ext uri="{FF2B5EF4-FFF2-40B4-BE49-F238E27FC236}">
                  <a16:creationId xmlns:a16="http://schemas.microsoft.com/office/drawing/2014/main" id="{B50EDB84-B102-3D83-A77C-520280506E98}"/>
                </a:ext>
              </a:extLst>
            </xdr:cNvPr>
            <xdr:cNvGraphicFramePr/>
          </xdr:nvGraphicFramePr>
          <xdr:xfrm>
            <a:off x="0" y="0"/>
            <a:ext cx="0" cy="0"/>
          </xdr:xfrm>
          <a:graphic>
            <a:graphicData uri="http://schemas.microsoft.com/office/drawing/2010/slicer">
              <sle:slicer xmlns:sle="http://schemas.microsoft.com/office/drawing/2010/slicer" name="KPI/PI"/>
            </a:graphicData>
          </a:graphic>
        </xdr:graphicFrame>
      </mc:Choice>
      <mc:Fallback xmlns="">
        <xdr:sp macro="" textlink="">
          <xdr:nvSpPr>
            <xdr:cNvPr id="0" name=""/>
            <xdr:cNvSpPr>
              <a:spLocks noTextEdit="1"/>
            </xdr:cNvSpPr>
          </xdr:nvSpPr>
          <xdr:spPr>
            <a:xfrm>
              <a:off x="5403850" y="107951"/>
              <a:ext cx="5924550" cy="6159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lona, Tommaso" refreshedDate="45204.513326273147" createdVersion="8" refreshedVersion="8" minRefreshableVersion="3" recordCount="25" xr:uid="{43278FA3-B010-4DEC-84BC-A4D42C35D906}">
  <cacheSource type="worksheet">
    <worksheetSource name="data"/>
  </cacheSource>
  <cacheFields count="9">
    <cacheField name="Year" numFmtId="0">
      <sharedItems count="8">
        <s v="2015-16"/>
        <s v="2016-17"/>
        <s v="2017-18"/>
        <s v="2018-19"/>
        <s v="2019-20"/>
        <s v="2020-21"/>
        <s v="2021-22"/>
        <s v="2022-23"/>
      </sharedItems>
    </cacheField>
    <cacheField name="KPI/PI" numFmtId="0">
      <sharedItems count="5">
        <s v="Pavement condition"/>
        <s v="Structures condition"/>
        <s v="Technology availability"/>
        <s v="Drainage resilience"/>
        <s v="Geotechnical condition"/>
      </sharedItems>
    </cacheField>
    <cacheField name="National Highways" numFmtId="0">
      <sharedItems containsSemiMixedTypes="0" containsString="0" containsNumber="1" minValue="69" maxValue="99.65"/>
    </cacheField>
    <cacheField name="Yorkshire and North East" numFmtId="0">
      <sharedItems containsString="0" containsBlank="1" containsNumber="1" minValue="69" maxValue="99.56"/>
    </cacheField>
    <cacheField name="North West_x000a_" numFmtId="0">
      <sharedItems containsString="0" containsBlank="1" containsNumber="1" minValue="68" maxValue="99.77"/>
    </cacheField>
    <cacheField name="Midlands_x000a_" numFmtId="0">
      <sharedItems containsString="0" containsBlank="1" containsNumber="1" minValue="66" maxValue="99.66"/>
    </cacheField>
    <cacheField name="East_x000a_" numFmtId="0">
      <sharedItems containsString="0" containsBlank="1" containsNumber="1" minValue="77" maxValue="99.59"/>
    </cacheField>
    <cacheField name="South East_x000a_" numFmtId="0">
      <sharedItems containsString="0" containsBlank="1" containsNumber="1" minValue="64" maxValue="99.66"/>
    </cacheField>
    <cacheField name="South West_x000a_" numFmtId="0">
      <sharedItems containsString="0" containsBlank="1" containsNumber="1" minValue="64" maxValue="99.62"/>
    </cacheField>
  </cacheFields>
  <extLst>
    <ext xmlns:x14="http://schemas.microsoft.com/office/spreadsheetml/2009/9/main" uri="{725AE2AE-9491-48be-B2B4-4EB974FC3084}">
      <x14:pivotCacheDefinition pivotCacheId="6581015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
  <r>
    <x v="0"/>
    <x v="0"/>
    <n v="92.300000000000011"/>
    <n v="93.179999999999993"/>
    <n v="95.04"/>
    <n v="89.56"/>
    <n v="90.539999999999992"/>
    <n v="93.67"/>
    <n v="93.47"/>
  </r>
  <r>
    <x v="1"/>
    <x v="0"/>
    <n v="94.3"/>
    <n v="95.199999999999989"/>
    <n v="97.1"/>
    <n v="91.5"/>
    <n v="92.5"/>
    <n v="95.7"/>
    <n v="95.5"/>
  </r>
  <r>
    <x v="2"/>
    <x v="0"/>
    <n v="95.199999999999989"/>
    <n v="95.3"/>
    <n v="97.399999999999991"/>
    <n v="93.5"/>
    <n v="92.600000000000009"/>
    <n v="96.7"/>
    <n v="96.7"/>
  </r>
  <r>
    <x v="3"/>
    <x v="0"/>
    <n v="95.5"/>
    <n v="96.8"/>
    <n v="97.2"/>
    <n v="93.5"/>
    <n v="94"/>
    <n v="96.6"/>
    <n v="96.1"/>
  </r>
  <r>
    <x v="4"/>
    <x v="0"/>
    <n v="95.4"/>
    <n v="96.899999999999991"/>
    <n v="96.7"/>
    <n v="93.7"/>
    <n v="94.3"/>
    <n v="96.5"/>
    <n v="95.3"/>
  </r>
  <r>
    <x v="5"/>
    <x v="0"/>
    <n v="95.199999999999989"/>
    <n v="95.6"/>
    <n v="97.2"/>
    <n v="94.399999999999991"/>
    <n v="92.100000000000009"/>
    <n v="96.6"/>
    <n v="96"/>
  </r>
  <r>
    <x v="6"/>
    <x v="0"/>
    <n v="95.5"/>
    <n v="96"/>
    <n v="96.4"/>
    <n v="94.3"/>
    <n v="93.2"/>
    <n v="96.4"/>
    <n v="97.3"/>
  </r>
  <r>
    <x v="7"/>
    <x v="0"/>
    <n v="96.2"/>
    <n v="96.99"/>
    <n v="96.84"/>
    <n v="95.61"/>
    <n v="93.61"/>
    <n v="96.79"/>
    <n v="97.64"/>
  </r>
  <r>
    <x v="0"/>
    <x v="1"/>
    <n v="79.100000000000009"/>
    <m/>
    <m/>
    <m/>
    <m/>
    <m/>
    <m/>
  </r>
  <r>
    <x v="1"/>
    <x v="1"/>
    <n v="79.2"/>
    <m/>
    <m/>
    <m/>
    <m/>
    <m/>
    <m/>
  </r>
  <r>
    <x v="2"/>
    <x v="1"/>
    <n v="79.800000000000011"/>
    <m/>
    <m/>
    <m/>
    <m/>
    <m/>
    <m/>
  </r>
  <r>
    <x v="3"/>
    <x v="1"/>
    <n v="79.800000000000011"/>
    <m/>
    <m/>
    <m/>
    <m/>
    <m/>
    <m/>
  </r>
  <r>
    <x v="4"/>
    <x v="1"/>
    <n v="80.489999999999995"/>
    <m/>
    <m/>
    <m/>
    <m/>
    <m/>
    <m/>
  </r>
  <r>
    <x v="5"/>
    <x v="1"/>
    <n v="85.4"/>
    <n v="83.63"/>
    <n v="84.24"/>
    <n v="84.38"/>
    <n v="84.82"/>
    <n v="88.4"/>
    <n v="85.48"/>
  </r>
  <r>
    <x v="6"/>
    <x v="1"/>
    <n v="85.3"/>
    <n v="83.63"/>
    <n v="84.24"/>
    <n v="86.42"/>
    <n v="84.82"/>
    <n v="88.4"/>
    <n v="85.48"/>
  </r>
  <r>
    <x v="7"/>
    <x v="1"/>
    <n v="85.4"/>
    <n v="84.6"/>
    <n v="83.5"/>
    <n v="85.7"/>
    <n v="83.6"/>
    <n v="88.1"/>
    <n v="84.7"/>
  </r>
  <r>
    <x v="5"/>
    <x v="2"/>
    <n v="95.06"/>
    <m/>
    <m/>
    <m/>
    <m/>
    <m/>
    <m/>
  </r>
  <r>
    <x v="6"/>
    <x v="2"/>
    <n v="96.88"/>
    <m/>
    <m/>
    <m/>
    <m/>
    <m/>
    <m/>
  </r>
  <r>
    <x v="7"/>
    <x v="2"/>
    <n v="95.31"/>
    <m/>
    <m/>
    <m/>
    <m/>
    <m/>
    <m/>
  </r>
  <r>
    <x v="5"/>
    <x v="3"/>
    <n v="72"/>
    <n v="70"/>
    <n v="69"/>
    <n v="66"/>
    <n v="85"/>
    <n v="68"/>
    <n v="79"/>
  </r>
  <r>
    <x v="6"/>
    <x v="3"/>
    <n v="71"/>
    <n v="69"/>
    <n v="68"/>
    <n v="67"/>
    <n v="82"/>
    <n v="68"/>
    <n v="77"/>
  </r>
  <r>
    <x v="7"/>
    <x v="3"/>
    <n v="69"/>
    <n v="69"/>
    <n v="70"/>
    <n v="66"/>
    <n v="77"/>
    <n v="64"/>
    <n v="64"/>
  </r>
  <r>
    <x v="5"/>
    <x v="4"/>
    <n v="99.62"/>
    <n v="99.56"/>
    <n v="99.64"/>
    <n v="99.66"/>
    <n v="99.46"/>
    <n v="99.66"/>
    <n v="99.61"/>
  </r>
  <r>
    <x v="6"/>
    <x v="4"/>
    <n v="99.59"/>
    <n v="99.56"/>
    <n v="99.66"/>
    <n v="99.51"/>
    <n v="99.51"/>
    <n v="99.550000000000011"/>
    <n v="99.62"/>
  </r>
  <r>
    <x v="7"/>
    <x v="4"/>
    <n v="99.65"/>
    <n v="99.54"/>
    <n v="99.77"/>
    <n v="99.66"/>
    <n v="99.59"/>
    <n v="99.65"/>
    <n v="9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2D2E38-C529-4B4C-90F8-E70E1CE222B7}" name="YNE" cacheId="14" applyNumberFormats="0" applyBorderFormats="0" applyFontFormats="0" applyPatternFormats="0" applyAlignmentFormats="0" applyWidthHeightFormats="1" dataCaption="Values" showError="1" updatedVersion="8" minRefreshableVersion="3" useAutoFormatting="1" rowGrandTotals="0" itemPrintTitles="1" createdVersion="8" indent="0" outline="1" outlineData="1" multipleFieldFilters="0" chartFormat="29" rowHeaderCaption="Period">
  <location ref="D5:E8" firstHeaderRow="1" firstDataRow="1" firstDataCol="1"/>
  <pivotFields count="9">
    <pivotField axis="axisRow" showAll="0">
      <items count="9">
        <item h="1" x="0"/>
        <item h="1" x="1"/>
        <item h="1" x="2"/>
        <item h="1" x="3"/>
        <item h="1" x="4"/>
        <item x="5"/>
        <item x="6"/>
        <item x="7"/>
        <item t="default"/>
      </items>
    </pivotField>
    <pivotField showAll="0">
      <items count="6">
        <item h="1" x="3"/>
        <item x="4"/>
        <item h="1" x="0"/>
        <item h="1" x="1"/>
        <item h="1" x="2"/>
        <item t="default"/>
      </items>
    </pivotField>
    <pivotField numFmtId="165" showAll="0"/>
    <pivotField dataField="1" showAll="0"/>
    <pivotField showAll="0"/>
    <pivotField showAll="0"/>
    <pivotField showAll="0"/>
    <pivotField showAll="0"/>
    <pivotField showAll="0"/>
  </pivotFields>
  <rowFields count="1">
    <field x="0"/>
  </rowFields>
  <rowItems count="3">
    <i>
      <x v="5"/>
    </i>
    <i>
      <x v="6"/>
    </i>
    <i>
      <x v="7"/>
    </i>
  </rowItems>
  <colItems count="1">
    <i/>
  </colItems>
  <dataFields count="1">
    <dataField name=" Yorkshire and North East" fld="3" baseField="0" baseItem="0" numFmtId="165"/>
  </dataFields>
  <formats count="1">
    <format dxfId="0">
      <pivotArea outline="0" collapsedLevelsAreSubtotals="1" fieldPosition="0"/>
    </format>
  </formats>
  <chartFormats count="10">
    <chartFormat chart="4" format="2" series="1">
      <pivotArea type="data" outline="0" fieldPosition="0">
        <references count="1">
          <reference field="4294967294" count="1" selected="0">
            <x v="0"/>
          </reference>
        </references>
      </pivotArea>
    </chartFormat>
    <chartFormat chart="4" format="3">
      <pivotArea type="data" outline="0" fieldPosition="0">
        <references count="2">
          <reference field="4294967294" count="1" selected="0">
            <x v="0"/>
          </reference>
          <reference field="0" count="1" selected="0">
            <x v="5"/>
          </reference>
        </references>
      </pivotArea>
    </chartFormat>
    <chartFormat chart="4" format="4">
      <pivotArea type="data" outline="0" fieldPosition="0">
        <references count="1">
          <reference field="4294967294" count="1" selected="0">
            <x v="0"/>
          </reference>
        </references>
      </pivotArea>
    </chartFormat>
    <chartFormat chart="4" format="5">
      <pivotArea type="data" outline="0" fieldPosition="0">
        <references count="2">
          <reference field="4294967294" count="1" selected="0">
            <x v="0"/>
          </reference>
          <reference field="0" count="1" selected="0">
            <x v="6"/>
          </reference>
        </references>
      </pivotArea>
    </chartFormat>
    <chartFormat chart="4" format="6">
      <pivotArea type="data" outline="0" fieldPosition="0">
        <references count="2">
          <reference field="4294967294" count="1" selected="0">
            <x v="0"/>
          </reference>
          <reference field="0" count="1" selected="0">
            <x v="0"/>
          </reference>
        </references>
      </pivotArea>
    </chartFormat>
    <chartFormat chart="4" format="7">
      <pivotArea type="data" outline="0" fieldPosition="0">
        <references count="2">
          <reference field="4294967294" count="1" selected="0">
            <x v="0"/>
          </reference>
          <reference field="0" count="1" selected="0">
            <x v="1"/>
          </reference>
        </references>
      </pivotArea>
    </chartFormat>
    <chartFormat chart="4" format="8">
      <pivotArea type="data" outline="0" fieldPosition="0">
        <references count="2">
          <reference field="4294967294" count="1" selected="0">
            <x v="0"/>
          </reference>
          <reference field="0" count="1" selected="0">
            <x v="2"/>
          </reference>
        </references>
      </pivotArea>
    </chartFormat>
    <chartFormat chart="4" format="9">
      <pivotArea type="data" outline="0" fieldPosition="0">
        <references count="2">
          <reference field="4294967294" count="1" selected="0">
            <x v="0"/>
          </reference>
          <reference field="0" count="1" selected="0">
            <x v="3"/>
          </reference>
        </references>
      </pivotArea>
    </chartFormat>
    <chartFormat chart="4" format="10">
      <pivotArea type="data" outline="0" fieldPosition="0">
        <references count="2">
          <reference field="4294967294" count="1" selected="0">
            <x v="0"/>
          </reference>
          <reference field="0" count="1" selected="0">
            <x v="4"/>
          </reference>
        </references>
      </pivotArea>
    </chartFormat>
    <chartFormat chart="4" format="11">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E7B8FA4-7A8C-4DAF-8390-DC8CCF83710B}" name="East" cacheId="1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2" rowHeaderCaption="Period">
  <location ref="M5:N8" firstHeaderRow="1" firstDataRow="1" firstDataCol="1"/>
  <pivotFields count="9">
    <pivotField axis="axisRow" showAll="0">
      <items count="9">
        <item h="1" x="0"/>
        <item h="1" x="1"/>
        <item h="1" x="2"/>
        <item h="1" x="3"/>
        <item h="1" x="4"/>
        <item x="5"/>
        <item x="6"/>
        <item x="7"/>
        <item t="default"/>
      </items>
    </pivotField>
    <pivotField showAll="0">
      <items count="6">
        <item h="1" x="3"/>
        <item x="4"/>
        <item h="1" x="0"/>
        <item h="1" x="1"/>
        <item h="1" x="2"/>
        <item t="default"/>
      </items>
    </pivotField>
    <pivotField numFmtId="165" showAll="0"/>
    <pivotField showAll="0"/>
    <pivotField showAll="0"/>
    <pivotField showAll="0"/>
    <pivotField dataField="1" showAll="0"/>
    <pivotField showAll="0"/>
    <pivotField showAll="0"/>
  </pivotFields>
  <rowFields count="1">
    <field x="0"/>
  </rowFields>
  <rowItems count="3">
    <i>
      <x v="5"/>
    </i>
    <i>
      <x v="6"/>
    </i>
    <i>
      <x v="7"/>
    </i>
  </rowItems>
  <colItems count="1">
    <i/>
  </colItems>
  <dataFields count="1">
    <dataField name=" East" fld="6" baseField="0" baseItem="0" numFmtId="165"/>
  </dataFields>
  <formats count="1">
    <format dxfId="1">
      <pivotArea outline="0" collapsedLevelsAreSubtotals="1" fieldPosition="0"/>
    </format>
  </formats>
  <chartFormats count="10">
    <chartFormat chart="7" format="5" series="1">
      <pivotArea type="data" outline="0" fieldPosition="0">
        <references count="1">
          <reference field="4294967294" count="1" selected="0">
            <x v="0"/>
          </reference>
        </references>
      </pivotArea>
    </chartFormat>
    <chartFormat chart="7" format="6">
      <pivotArea type="data" outline="0" fieldPosition="0">
        <references count="2">
          <reference field="4294967294" count="1" selected="0">
            <x v="0"/>
          </reference>
          <reference field="0" count="1" selected="0">
            <x v="5"/>
          </reference>
        </references>
      </pivotArea>
    </chartFormat>
    <chartFormat chart="7" format="7">
      <pivotArea type="data" outline="0" fieldPosition="0">
        <references count="2">
          <reference field="4294967294" count="1" selected="0">
            <x v="0"/>
          </reference>
          <reference field="0" count="1" selected="0">
            <x v="6"/>
          </reference>
        </references>
      </pivotArea>
    </chartFormat>
    <chartFormat chart="7" format="8">
      <pivotArea type="data" outline="0" fieldPosition="0">
        <references count="1">
          <reference field="4294967294" count="1" selected="0">
            <x v="0"/>
          </reference>
        </references>
      </pivotArea>
    </chartFormat>
    <chartFormat chart="7" format="9">
      <pivotArea type="data" outline="0" fieldPosition="0">
        <references count="2">
          <reference field="4294967294" count="1" selected="0">
            <x v="0"/>
          </reference>
          <reference field="0" count="1" selected="0">
            <x v="0"/>
          </reference>
        </references>
      </pivotArea>
    </chartFormat>
    <chartFormat chart="7" format="10">
      <pivotArea type="data" outline="0" fieldPosition="0">
        <references count="2">
          <reference field="4294967294" count="1" selected="0">
            <x v="0"/>
          </reference>
          <reference field="0" count="1" selected="0">
            <x v="1"/>
          </reference>
        </references>
      </pivotArea>
    </chartFormat>
    <chartFormat chart="7" format="11">
      <pivotArea type="data" outline="0" fieldPosition="0">
        <references count="2">
          <reference field="4294967294" count="1" selected="0">
            <x v="0"/>
          </reference>
          <reference field="0" count="1" selected="0">
            <x v="2"/>
          </reference>
        </references>
      </pivotArea>
    </chartFormat>
    <chartFormat chart="7" format="12">
      <pivotArea type="data" outline="0" fieldPosition="0">
        <references count="2">
          <reference field="4294967294" count="1" selected="0">
            <x v="0"/>
          </reference>
          <reference field="0" count="1" selected="0">
            <x v="3"/>
          </reference>
        </references>
      </pivotArea>
    </chartFormat>
    <chartFormat chart="7" format="13">
      <pivotArea type="data" outline="0" fieldPosition="0">
        <references count="2">
          <reference field="4294967294" count="1" selected="0">
            <x v="0"/>
          </reference>
          <reference field="0" count="1" selected="0">
            <x v="4"/>
          </reference>
        </references>
      </pivotArea>
    </chartFormat>
    <chartFormat chart="7" format="14">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E7167A6-9BE7-4877-B381-BC7B22B0D6A7}" name="PivotTable9" cacheId="1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
  <location ref="A42:H45" firstHeaderRow="0" firstDataRow="1" firstDataCol="1" rowPageCount="1" colPageCount="1"/>
  <pivotFields count="9">
    <pivotField axis="axisRow" showAll="0">
      <items count="9">
        <item h="1" x="0"/>
        <item h="1" x="1"/>
        <item h="1" x="2"/>
        <item h="1" x="3"/>
        <item h="1" x="4"/>
        <item x="5"/>
        <item x="6"/>
        <item x="7"/>
        <item t="default"/>
      </items>
    </pivotField>
    <pivotField axis="axisPage" showAll="0">
      <items count="6">
        <item x="3"/>
        <item x="4"/>
        <item x="0"/>
        <item x="1"/>
        <item x="2"/>
        <item t="default"/>
      </items>
    </pivotField>
    <pivotField dataField="1" numFmtId="165" showAll="0"/>
    <pivotField dataField="1" showAll="0"/>
    <pivotField dataField="1" showAll="0"/>
    <pivotField dataField="1" showAll="0"/>
    <pivotField dataField="1" showAll="0"/>
    <pivotField dataField="1" showAll="0"/>
    <pivotField dataField="1" showAll="0"/>
  </pivotFields>
  <rowFields count="1">
    <field x="0"/>
  </rowFields>
  <rowItems count="3">
    <i>
      <x v="5"/>
    </i>
    <i>
      <x v="6"/>
    </i>
    <i>
      <x v="7"/>
    </i>
  </rowItems>
  <colFields count="1">
    <field x="-2"/>
  </colFields>
  <colItems count="7">
    <i>
      <x/>
    </i>
    <i i="1">
      <x v="1"/>
    </i>
    <i i="2">
      <x v="2"/>
    </i>
    <i i="3">
      <x v="3"/>
    </i>
    <i i="4">
      <x v="4"/>
    </i>
    <i i="5">
      <x v="5"/>
    </i>
    <i i="6">
      <x v="6"/>
    </i>
  </colItems>
  <pageFields count="1">
    <pageField fld="1" item="1" hier="-1"/>
  </pageFields>
  <dataFields count="7">
    <dataField name=" Yorkshire and North East" fld="3" baseField="0" baseItem="0"/>
    <dataField name=" North West" fld="4" baseField="0" baseItem="0"/>
    <dataField name=" Midlands" fld="5" baseField="0" baseItem="0"/>
    <dataField name=" East" fld="6" baseField="0" baseItem="0"/>
    <dataField name=" South East" fld="7" baseField="0" baseItem="0"/>
    <dataField name=" South West" fld="8" baseField="0" baseItem="0"/>
    <dataField name=" National Highways" fld="2" baseField="0" baseItem="5"/>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D94E03-6ED6-4344-9F0C-59DD97EDB863}" name="SW" cacheId="1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5" rowHeaderCaption="Period">
  <location ref="S5:T8" firstHeaderRow="1" firstDataRow="1" firstDataCol="1"/>
  <pivotFields count="9">
    <pivotField axis="axisRow" showAll="0">
      <items count="9">
        <item h="1" x="0"/>
        <item h="1" x="1"/>
        <item h="1" x="2"/>
        <item h="1" x="3"/>
        <item h="1" x="4"/>
        <item x="5"/>
        <item x="6"/>
        <item x="7"/>
        <item t="default"/>
      </items>
    </pivotField>
    <pivotField showAll="0">
      <items count="6">
        <item h="1" x="3"/>
        <item x="4"/>
        <item h="1" x="0"/>
        <item h="1" x="1"/>
        <item h="1" x="2"/>
        <item t="default"/>
      </items>
    </pivotField>
    <pivotField numFmtId="165" showAll="0"/>
    <pivotField showAll="0"/>
    <pivotField showAll="0"/>
    <pivotField showAll="0"/>
    <pivotField showAll="0"/>
    <pivotField showAll="0"/>
    <pivotField dataField="1" showAll="0"/>
  </pivotFields>
  <rowFields count="1">
    <field x="0"/>
  </rowFields>
  <rowItems count="3">
    <i>
      <x v="5"/>
    </i>
    <i>
      <x v="6"/>
    </i>
    <i>
      <x v="7"/>
    </i>
  </rowItems>
  <colItems count="1">
    <i/>
  </colItems>
  <dataFields count="1">
    <dataField name=" South West" fld="8" baseField="0" baseItem="1" numFmtId="165"/>
  </dataFields>
  <formats count="1">
    <format dxfId="3">
      <pivotArea outline="0" collapsedLevelsAreSubtotals="1" fieldPosition="0"/>
    </format>
  </formats>
  <chartFormats count="10">
    <chartFormat chart="4" format="13" series="1">
      <pivotArea type="data" outline="0" fieldPosition="0">
        <references count="1">
          <reference field="4294967294" count="1" selected="0">
            <x v="0"/>
          </reference>
        </references>
      </pivotArea>
    </chartFormat>
    <chartFormat chart="4" format="14">
      <pivotArea type="data" outline="0" fieldPosition="0">
        <references count="2">
          <reference field="4294967294" count="1" selected="0">
            <x v="0"/>
          </reference>
          <reference field="0" count="1" selected="0">
            <x v="5"/>
          </reference>
        </references>
      </pivotArea>
    </chartFormat>
    <chartFormat chart="4" format="15">
      <pivotArea type="data" outline="0" fieldPosition="0">
        <references count="2">
          <reference field="4294967294" count="1" selected="0">
            <x v="0"/>
          </reference>
          <reference field="0" count="1" selected="0">
            <x v="6"/>
          </reference>
        </references>
      </pivotArea>
    </chartFormat>
    <chartFormat chart="4" format="16">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0" count="1" selected="0">
            <x v="0"/>
          </reference>
        </references>
      </pivotArea>
    </chartFormat>
    <chartFormat chart="4" format="18">
      <pivotArea type="data" outline="0" fieldPosition="0">
        <references count="2">
          <reference field="4294967294" count="1" selected="0">
            <x v="0"/>
          </reference>
          <reference field="0" count="1" selected="0">
            <x v="1"/>
          </reference>
        </references>
      </pivotArea>
    </chartFormat>
    <chartFormat chart="4" format="19">
      <pivotArea type="data" outline="0" fieldPosition="0">
        <references count="2">
          <reference field="4294967294" count="1" selected="0">
            <x v="0"/>
          </reference>
          <reference field="0" count="1" selected="0">
            <x v="2"/>
          </reference>
        </references>
      </pivotArea>
    </chartFormat>
    <chartFormat chart="4" format="20">
      <pivotArea type="data" outline="0" fieldPosition="0">
        <references count="2">
          <reference field="4294967294" count="1" selected="0">
            <x v="0"/>
          </reference>
          <reference field="0" count="1" selected="0">
            <x v="3"/>
          </reference>
        </references>
      </pivotArea>
    </chartFormat>
    <chartFormat chart="4" format="21">
      <pivotArea type="data" outline="0" fieldPosition="0">
        <references count="2">
          <reference field="4294967294" count="1" selected="0">
            <x v="0"/>
          </reference>
          <reference field="0" count="1" selected="0">
            <x v="4"/>
          </reference>
        </references>
      </pivotArea>
    </chartFormat>
    <chartFormat chart="4" format="22">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965208C-F395-45FE-9994-0DDD009599EF}" name="Midlands" cacheId="1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0" rowHeaderCaption="Period">
  <location ref="J5:K8" firstHeaderRow="1" firstDataRow="1" firstDataCol="1"/>
  <pivotFields count="9">
    <pivotField axis="axisRow" showAll="0">
      <items count="9">
        <item h="1" x="0"/>
        <item h="1" x="1"/>
        <item h="1" x="2"/>
        <item h="1" x="3"/>
        <item h="1" x="4"/>
        <item x="5"/>
        <item x="6"/>
        <item x="7"/>
        <item t="default"/>
      </items>
    </pivotField>
    <pivotField showAll="0">
      <items count="6">
        <item h="1" x="3"/>
        <item x="4"/>
        <item h="1" x="0"/>
        <item h="1" x="1"/>
        <item h="1" x="2"/>
        <item t="default"/>
      </items>
    </pivotField>
    <pivotField numFmtId="165" showAll="0"/>
    <pivotField showAll="0"/>
    <pivotField showAll="0"/>
    <pivotField dataField="1" showAll="0"/>
    <pivotField showAll="0"/>
    <pivotField showAll="0"/>
    <pivotField showAll="0"/>
  </pivotFields>
  <rowFields count="1">
    <field x="0"/>
  </rowFields>
  <rowItems count="3">
    <i>
      <x v="5"/>
    </i>
    <i>
      <x v="6"/>
    </i>
    <i>
      <x v="7"/>
    </i>
  </rowItems>
  <colItems count="1">
    <i/>
  </colItems>
  <dataFields count="1">
    <dataField name=" Midlands" fld="5" baseField="0" baseItem="0" numFmtId="165"/>
  </dataFields>
  <formats count="4">
    <format dxfId="7">
      <pivotArea field="0" type="button" dataOnly="0" labelOnly="1" outline="0" axis="axisRow" fieldPosition="0"/>
    </format>
    <format dxfId="6">
      <pivotArea field="0" type="button" dataOnly="0" labelOnly="1" outline="0" axis="axisRow" fieldPosition="0"/>
    </format>
    <format dxfId="5">
      <pivotArea field="0" type="button" dataOnly="0" labelOnly="1" outline="0" axis="axisRow" fieldPosition="0"/>
    </format>
    <format dxfId="4">
      <pivotArea outline="0" collapsedLevelsAreSubtotals="1" fieldPosition="0"/>
    </format>
  </formats>
  <chartFormats count="10">
    <chartFormat chart="4" format="5" series="1">
      <pivotArea type="data" outline="0" fieldPosition="0">
        <references count="1">
          <reference field="4294967294" count="1" selected="0">
            <x v="0"/>
          </reference>
        </references>
      </pivotArea>
    </chartFormat>
    <chartFormat chart="4" format="6">
      <pivotArea type="data" outline="0" fieldPosition="0">
        <references count="2">
          <reference field="4294967294" count="1" selected="0">
            <x v="0"/>
          </reference>
          <reference field="0" count="1" selected="0">
            <x v="5"/>
          </reference>
        </references>
      </pivotArea>
    </chartFormat>
    <chartFormat chart="4" format="7">
      <pivotArea type="data" outline="0" fieldPosition="0">
        <references count="2">
          <reference field="4294967294" count="1" selected="0">
            <x v="0"/>
          </reference>
          <reference field="0" count="1" selected="0">
            <x v="6"/>
          </reference>
        </references>
      </pivotArea>
    </chartFormat>
    <chartFormat chart="4" format="8">
      <pivotArea type="data" outline="0" fieldPosition="0">
        <references count="2">
          <reference field="4294967294" count="1" selected="0">
            <x v="0"/>
          </reference>
          <reference field="0" count="1" selected="0">
            <x v="0"/>
          </reference>
        </references>
      </pivotArea>
    </chartFormat>
    <chartFormat chart="4" format="9">
      <pivotArea type="data" outline="0" fieldPosition="0">
        <references count="2">
          <reference field="4294967294" count="1" selected="0">
            <x v="0"/>
          </reference>
          <reference field="0" count="1" selected="0">
            <x v="1"/>
          </reference>
        </references>
      </pivotArea>
    </chartFormat>
    <chartFormat chart="4" format="10">
      <pivotArea type="data" outline="0" fieldPosition="0">
        <references count="2">
          <reference field="4294967294" count="1" selected="0">
            <x v="0"/>
          </reference>
          <reference field="0" count="1" selected="0">
            <x v="2"/>
          </reference>
        </references>
      </pivotArea>
    </chartFormat>
    <chartFormat chart="4" format="11">
      <pivotArea type="data" outline="0" fieldPosition="0">
        <references count="2">
          <reference field="4294967294" count="1" selected="0">
            <x v="0"/>
          </reference>
          <reference field="0" count="1" selected="0">
            <x v="3"/>
          </reference>
        </references>
      </pivotArea>
    </chartFormat>
    <chartFormat chart="4" format="12">
      <pivotArea type="data" outline="0" fieldPosition="0">
        <references count="2">
          <reference field="4294967294" count="1" selected="0">
            <x v="0"/>
          </reference>
          <reference field="0" count="1" selected="0">
            <x v="4"/>
          </reference>
        </references>
      </pivotArea>
    </chartFormat>
    <chartFormat chart="4" format="13">
      <pivotArea type="data" outline="0" fieldPosition="0">
        <references count="2">
          <reference field="4294967294" count="1" selected="0">
            <x v="0"/>
          </reference>
          <reference field="0" count="1" selected="0">
            <x v="7"/>
          </reference>
        </references>
      </pivotArea>
    </chartFormat>
    <chartFormat chart="4" format="14">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3C19AA7-AB60-4A34-B671-27546984B050}" name="NW" cacheId="1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7" rowHeaderCaption="Period">
  <location ref="G5:H8" firstHeaderRow="1" firstDataRow="1" firstDataCol="1"/>
  <pivotFields count="9">
    <pivotField axis="axisRow" showAll="0">
      <items count="9">
        <item h="1" x="0"/>
        <item h="1" x="1"/>
        <item h="1" x="2"/>
        <item h="1" x="3"/>
        <item h="1" x="4"/>
        <item x="5"/>
        <item x="6"/>
        <item x="7"/>
        <item t="default"/>
      </items>
    </pivotField>
    <pivotField showAll="0">
      <items count="6">
        <item h="1" x="3"/>
        <item x="4"/>
        <item h="1" x="0"/>
        <item h="1" x="1"/>
        <item h="1" x="2"/>
        <item t="default"/>
      </items>
    </pivotField>
    <pivotField numFmtId="165" showAll="0"/>
    <pivotField showAll="0"/>
    <pivotField dataField="1" showAll="0"/>
    <pivotField showAll="0"/>
    <pivotField showAll="0"/>
    <pivotField showAll="0"/>
    <pivotField showAll="0"/>
  </pivotFields>
  <rowFields count="1">
    <field x="0"/>
  </rowFields>
  <rowItems count="3">
    <i>
      <x v="5"/>
    </i>
    <i>
      <x v="6"/>
    </i>
    <i>
      <x v="7"/>
    </i>
  </rowItems>
  <colItems count="1">
    <i/>
  </colItems>
  <dataFields count="1">
    <dataField name=" North West" fld="4" baseField="0" baseItem="0" numFmtId="165"/>
  </dataFields>
  <formats count="1">
    <format dxfId="8">
      <pivotArea outline="0" collapsedLevelsAreSubtotals="1" fieldPosition="0"/>
    </format>
  </formats>
  <chartFormats count="10">
    <chartFormat chart="4" format="5" series="1">
      <pivotArea type="data" outline="0" fieldPosition="0">
        <references count="1">
          <reference field="4294967294" count="1" selected="0">
            <x v="0"/>
          </reference>
        </references>
      </pivotArea>
    </chartFormat>
    <chartFormat chart="4" format="6">
      <pivotArea type="data" outline="0" fieldPosition="0">
        <references count="2">
          <reference field="4294967294" count="1" selected="0">
            <x v="0"/>
          </reference>
          <reference field="0" count="1" selected="0">
            <x v="5"/>
          </reference>
        </references>
      </pivotArea>
    </chartFormat>
    <chartFormat chart="4" format="7">
      <pivotArea type="data" outline="0" fieldPosition="0">
        <references count="2">
          <reference field="4294967294" count="1" selected="0">
            <x v="0"/>
          </reference>
          <reference field="0" count="1" selected="0">
            <x v="6"/>
          </reference>
        </references>
      </pivotArea>
    </chartFormat>
    <chartFormat chart="4" format="8">
      <pivotArea type="data" outline="0" fieldPosition="0">
        <references count="2">
          <reference field="4294967294" count="1" selected="0">
            <x v="0"/>
          </reference>
          <reference field="0" count="1" selected="0">
            <x v="0"/>
          </reference>
        </references>
      </pivotArea>
    </chartFormat>
    <chartFormat chart="4" format="9">
      <pivotArea type="data" outline="0" fieldPosition="0">
        <references count="2">
          <reference field="4294967294" count="1" selected="0">
            <x v="0"/>
          </reference>
          <reference field="0" count="1" selected="0">
            <x v="1"/>
          </reference>
        </references>
      </pivotArea>
    </chartFormat>
    <chartFormat chart="4" format="10">
      <pivotArea type="data" outline="0" fieldPosition="0">
        <references count="2">
          <reference field="4294967294" count="1" selected="0">
            <x v="0"/>
          </reference>
          <reference field="0" count="1" selected="0">
            <x v="2"/>
          </reference>
        </references>
      </pivotArea>
    </chartFormat>
    <chartFormat chart="4" format="11">
      <pivotArea type="data" outline="0" fieldPosition="0">
        <references count="2">
          <reference field="4294967294" count="1" selected="0">
            <x v="0"/>
          </reference>
          <reference field="0" count="1" selected="0">
            <x v="3"/>
          </reference>
        </references>
      </pivotArea>
    </chartFormat>
    <chartFormat chart="4" format="12">
      <pivotArea type="data" outline="0" fieldPosition="0">
        <references count="2">
          <reference field="4294967294" count="1" selected="0">
            <x v="0"/>
          </reference>
          <reference field="0" count="1" selected="0">
            <x v="4"/>
          </reference>
        </references>
      </pivotArea>
    </chartFormat>
    <chartFormat chart="4" format="13">
      <pivotArea type="data" outline="0" fieldPosition="0">
        <references count="1">
          <reference field="4294967294" count="1" selected="0">
            <x v="0"/>
          </reference>
        </references>
      </pivotArea>
    </chartFormat>
    <chartFormat chart="4" format="14">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837502A-E729-491C-BD80-128A7CF37EB1}" name="NH" cacheId="1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Period">
  <location ref="A5:B8" firstHeaderRow="1" firstDataRow="1" firstDataCol="1"/>
  <pivotFields count="9">
    <pivotField axis="axisRow" showAll="0">
      <items count="9">
        <item h="1" x="0"/>
        <item h="1" x="1"/>
        <item h="1" x="2"/>
        <item h="1" x="3"/>
        <item h="1" x="4"/>
        <item x="5"/>
        <item x="6"/>
        <item x="7"/>
        <item t="default"/>
      </items>
    </pivotField>
    <pivotField showAll="0">
      <items count="6">
        <item h="1" x="3"/>
        <item x="4"/>
        <item h="1" x="0"/>
        <item h="1" x="1"/>
        <item h="1" x="2"/>
        <item t="default"/>
      </items>
    </pivotField>
    <pivotField dataField="1" numFmtId="165" showAll="0"/>
    <pivotField showAll="0"/>
    <pivotField showAll="0"/>
    <pivotField showAll="0"/>
    <pivotField showAll="0"/>
    <pivotField showAll="0"/>
    <pivotField showAll="0"/>
  </pivotFields>
  <rowFields count="1">
    <field x="0"/>
  </rowFields>
  <rowItems count="3">
    <i>
      <x v="5"/>
    </i>
    <i>
      <x v="6"/>
    </i>
    <i>
      <x v="7"/>
    </i>
  </rowItems>
  <colItems count="1">
    <i/>
  </colItems>
  <dataFields count="1">
    <dataField name=" National Highways" fld="2" baseField="0" baseItem="5" numFmtId="165"/>
  </dataFields>
  <formats count="2">
    <format dxfId="10">
      <pivotArea collapsedLevelsAreSubtotals="1" fieldPosition="0">
        <references count="1">
          <reference field="0" count="1">
            <x v="4"/>
          </reference>
        </references>
      </pivotArea>
    </format>
    <format dxfId="9">
      <pivotArea outline="0" collapsedLevelsAreSubtotals="1" fieldPosition="0"/>
    </format>
  </formats>
  <conditionalFormats count="2">
    <conditionalFormat priority="1">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11">
    <chartFormat chart="0" format="6"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 chart="5" format="3">
      <pivotArea type="data" outline="0" fieldPosition="0">
        <references count="2">
          <reference field="4294967294" count="1" selected="0">
            <x v="0"/>
          </reference>
          <reference field="0" count="1" selected="0">
            <x v="5"/>
          </reference>
        </references>
      </pivotArea>
    </chartFormat>
    <chartFormat chart="5" format="4">
      <pivotArea type="data" outline="0" fieldPosition="0">
        <references count="2">
          <reference field="4294967294" count="1" selected="0">
            <x v="0"/>
          </reference>
          <reference field="0" count="1" selected="0">
            <x v="6"/>
          </reference>
        </references>
      </pivotArea>
    </chartFormat>
    <chartFormat chart="5" format="5">
      <pivotArea type="data" outline="0" fieldPosition="0">
        <references count="1">
          <reference field="4294967294" count="1" selected="0">
            <x v="0"/>
          </reference>
        </references>
      </pivotArea>
    </chartFormat>
    <chartFormat chart="5" format="6">
      <pivotArea type="data" outline="0" fieldPosition="0">
        <references count="2">
          <reference field="4294967294" count="1" selected="0">
            <x v="0"/>
          </reference>
          <reference field="0" count="1" selected="0">
            <x v="0"/>
          </reference>
        </references>
      </pivotArea>
    </chartFormat>
    <chartFormat chart="5" format="7">
      <pivotArea type="data" outline="0" fieldPosition="0">
        <references count="2">
          <reference field="4294967294" count="1" selected="0">
            <x v="0"/>
          </reference>
          <reference field="0" count="1" selected="0">
            <x v="1"/>
          </reference>
        </references>
      </pivotArea>
    </chartFormat>
    <chartFormat chart="5" format="8">
      <pivotArea type="data" outline="0" fieldPosition="0">
        <references count="2">
          <reference field="4294967294" count="1" selected="0">
            <x v="0"/>
          </reference>
          <reference field="0" count="1" selected="0">
            <x v="2"/>
          </reference>
        </references>
      </pivotArea>
    </chartFormat>
    <chartFormat chart="5" format="9">
      <pivotArea type="data" outline="0" fieldPosition="0">
        <references count="2">
          <reference field="4294967294" count="1" selected="0">
            <x v="0"/>
          </reference>
          <reference field="0" count="1" selected="0">
            <x v="3"/>
          </reference>
        </references>
      </pivotArea>
    </chartFormat>
    <chartFormat chart="5" format="10">
      <pivotArea type="data" outline="0" fieldPosition="0">
        <references count="2">
          <reference field="4294967294" count="1" selected="0">
            <x v="0"/>
          </reference>
          <reference field="0" count="1" selected="0">
            <x v="4"/>
          </reference>
        </references>
      </pivotArea>
    </chartFormat>
    <chartFormat chart="5" format="11">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CAD83B5-75F7-4704-8F45-5DDB93DD9630}" name="SE" cacheId="1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7" rowHeaderCaption="Period">
  <location ref="P5:Q8" firstHeaderRow="1" firstDataRow="1" firstDataCol="1"/>
  <pivotFields count="9">
    <pivotField axis="axisRow" showAll="0">
      <items count="9">
        <item h="1" x="0"/>
        <item h="1" x="1"/>
        <item h="1" x="2"/>
        <item h="1" x="3"/>
        <item h="1" x="4"/>
        <item x="5"/>
        <item x="6"/>
        <item x="7"/>
        <item t="default"/>
      </items>
    </pivotField>
    <pivotField showAll="0">
      <items count="6">
        <item h="1" x="3"/>
        <item x="4"/>
        <item h="1" x="0"/>
        <item h="1" x="1"/>
        <item h="1" x="2"/>
        <item t="default"/>
      </items>
    </pivotField>
    <pivotField numFmtId="165" showAll="0"/>
    <pivotField showAll="0"/>
    <pivotField showAll="0"/>
    <pivotField showAll="0"/>
    <pivotField showAll="0"/>
    <pivotField dataField="1" showAll="0"/>
    <pivotField showAll="0"/>
  </pivotFields>
  <rowFields count="1">
    <field x="0"/>
  </rowFields>
  <rowItems count="3">
    <i>
      <x v="5"/>
    </i>
    <i>
      <x v="6"/>
    </i>
    <i>
      <x v="7"/>
    </i>
  </rowItems>
  <colItems count="1">
    <i/>
  </colItems>
  <dataFields count="1">
    <dataField name=" South East" fld="7" baseField="0" baseItem="0" numFmtId="165"/>
  </dataFields>
  <formats count="1">
    <format dxfId="11">
      <pivotArea outline="0" collapsedLevelsAreSubtotals="1" fieldPosition="0"/>
    </format>
  </formats>
  <chartFormats count="10">
    <chartFormat chart="4" format="10" series="1">
      <pivotArea type="data" outline="0" fieldPosition="0">
        <references count="1">
          <reference field="4294967294" count="1" selected="0">
            <x v="0"/>
          </reference>
        </references>
      </pivotArea>
    </chartFormat>
    <chartFormat chart="4" format="11">
      <pivotArea type="data" outline="0" fieldPosition="0">
        <references count="2">
          <reference field="4294967294" count="1" selected="0">
            <x v="0"/>
          </reference>
          <reference field="0" count="1" selected="0">
            <x v="5"/>
          </reference>
        </references>
      </pivotArea>
    </chartFormat>
    <chartFormat chart="4" format="12">
      <pivotArea type="data" outline="0" fieldPosition="0">
        <references count="2">
          <reference field="4294967294" count="1" selected="0">
            <x v="0"/>
          </reference>
          <reference field="0" count="1" selected="0">
            <x v="6"/>
          </reference>
        </references>
      </pivotArea>
    </chartFormat>
    <chartFormat chart="4" format="13">
      <pivotArea type="data" outline="0" fieldPosition="0">
        <references count="1">
          <reference field="4294967294" count="1" selected="0">
            <x v="0"/>
          </reference>
        </references>
      </pivotArea>
    </chartFormat>
    <chartFormat chart="4" format="14">
      <pivotArea type="data" outline="0" fieldPosition="0">
        <references count="2">
          <reference field="4294967294" count="1" selected="0">
            <x v="0"/>
          </reference>
          <reference field="0" count="1" selected="0">
            <x v="0"/>
          </reference>
        </references>
      </pivotArea>
    </chartFormat>
    <chartFormat chart="4" format="15">
      <pivotArea type="data" outline="0" fieldPosition="0">
        <references count="2">
          <reference field="4294967294" count="1" selected="0">
            <x v="0"/>
          </reference>
          <reference field="0" count="1" selected="0">
            <x v="1"/>
          </reference>
        </references>
      </pivotArea>
    </chartFormat>
    <chartFormat chart="4" format="16">
      <pivotArea type="data" outline="0" fieldPosition="0">
        <references count="2">
          <reference field="4294967294" count="1" selected="0">
            <x v="0"/>
          </reference>
          <reference field="0" count="1" selected="0">
            <x v="2"/>
          </reference>
        </references>
      </pivotArea>
    </chartFormat>
    <chartFormat chart="4" format="17">
      <pivotArea type="data" outline="0" fieldPosition="0">
        <references count="2">
          <reference field="4294967294" count="1" selected="0">
            <x v="0"/>
          </reference>
          <reference field="0" count="1" selected="0">
            <x v="3"/>
          </reference>
        </references>
      </pivotArea>
    </chartFormat>
    <chartFormat chart="4" format="18">
      <pivotArea type="data" outline="0" fieldPosition="0">
        <references count="2">
          <reference field="4294967294" count="1" selected="0">
            <x v="0"/>
          </reference>
          <reference field="0" count="1" selected="0">
            <x v="4"/>
          </reference>
        </references>
      </pivotArea>
    </chartFormat>
    <chartFormat chart="4" format="19">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B915CEC9-11AD-4E4D-9523-CA0293C90586}" sourceName="Year">
  <pivotTables>
    <pivotTable tabId="17" name="PivotTable9"/>
    <pivotTable tabId="17" name="NH"/>
    <pivotTable tabId="17" name="YNE"/>
    <pivotTable tabId="17" name="NW"/>
    <pivotTable tabId="17" name="Midlands"/>
    <pivotTable tabId="17" name="East"/>
    <pivotTable tabId="17" name="SE"/>
    <pivotTable tabId="17" name="SW"/>
  </pivotTables>
  <data>
    <tabular pivotCacheId="658101560">
      <items count="8">
        <i x="5" s="1"/>
        <i x="6" s="1"/>
        <i x="7" s="1"/>
        <i x="0" nd="1"/>
        <i x="1" nd="1"/>
        <i x="2" nd="1"/>
        <i x="3" nd="1"/>
        <i x="4"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_PI" xr10:uid="{2168EAF2-8B5B-4EB3-8B5D-C4463F1D58FD}" sourceName="KPI/PI">
  <pivotTables>
    <pivotTable tabId="17" name="PivotTable9"/>
    <pivotTable tabId="17" name="NH"/>
    <pivotTable tabId="17" name="YNE"/>
    <pivotTable tabId="17" name="NW"/>
    <pivotTable tabId="17" name="Midlands"/>
    <pivotTable tabId="17" name="East"/>
    <pivotTable tabId="17" name="SE"/>
    <pivotTable tabId="17" name="SW"/>
  </pivotTables>
  <data>
    <tabular pivotCacheId="658101560">
      <items count="5">
        <i x="3"/>
        <i x="4" s="1"/>
        <i x="0"/>
        <i x="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AE5D302A-A879-4839-AF64-8D89FED06DCC}" cache="Slicer_Year1" caption="Year" columnCount="5" showCaption="0" style="Slicer Style 1" lockedPosition="1" rowHeight="432000"/>
  <slicer name="KPI/PI 1" xr10:uid="{405F68BB-4395-4E61-A817-3E6F92AA0FD1}" cache="Slicer_KPI_PI" caption="KPI/PI"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71E17A70-6252-4168-99A8-AD5B0A2BDEDC}" cache="Slicer_Year1" caption="Year" columnCount="7" showCaption="0" style="Slicer Style 1" rowHeight="241300"/>
  <slicer name="KPI/PI" xr10:uid="{97673E9A-CBE4-46E9-9C7A-7A8EFEB66B6F}" cache="Slicer_KPI_PI" caption="KPI/PI" columnCount="5" showCaption="0" style="indicators"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9" totalsRowShown="0">
  <tableColumns count="2">
    <tableColumn id="1" xr3:uid="{00000000-0010-0000-0100-000001000000}" name="Note number " dataDxfId="61"/>
    <tableColumn id="2" xr3:uid="{00000000-0010-0000-0100-000002000000}" name="Note text "/>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9" totalsRowShown="0">
  <autoFilter ref="A3:B9" xr:uid="{A2E2B00C-F437-45B3-8503-7AA9961C3F10}">
    <filterColumn colId="0" hiddenButton="1"/>
    <filterColumn colId="1" hiddenButton="1"/>
  </autoFilter>
  <tableColumns count="2">
    <tableColumn id="1" xr3:uid="{557ED635-1147-439E-8F74-0D2BBB4D3AF5}" name="Worksheet name" dataDxfId="60"/>
    <tableColumn id="2" xr3:uid="{7C0BBB98-1A7D-4386-9200-AB6B86FDDAAE}" name="Worksheet title" dataDxfId="5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CCFCD09-0113-444B-97DD-5A6C48A9B691}" name="Table_3a" displayName="Table_3a" ref="A5:H13" totalsRowShown="0" headerRowDxfId="58" dataDxfId="57">
  <autoFilter ref="A5:H13" xr:uid="{ACCFCD09-0113-444B-97DD-5A6C48A9B69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52853BB-8585-4238-81EB-AEA8E00DD71E}" name="Time period" dataDxfId="56"/>
    <tableColumn id="2" xr3:uid="{40553738-D00A-453A-9142-CBC561868275}" name="National Highways (percentage)" dataDxfId="55"/>
    <tableColumn id="3" xr3:uid="{730B901E-9CAE-450D-A623-A00D5123C154}" name="Yorkshire and North East_x000a_(percentage)" dataDxfId="54"/>
    <tableColumn id="4" xr3:uid="{95AB8A25-011D-4A7D-A423-FE3E25492E2F}" name="North West_x000a_(percentage)" dataDxfId="53"/>
    <tableColumn id="5" xr3:uid="{2778C2AD-3B0B-4C99-9B83-D1BAD8EE2F7C}" name="Midlands_x000a_(percentage)" dataDxfId="52"/>
    <tableColumn id="6" xr3:uid="{EED4280D-9958-475E-AE06-D7BA6E205FA5}" name="East_x000a_(percentage)" dataDxfId="51"/>
    <tableColumn id="7" xr3:uid="{EF841BF8-AC1D-464D-863F-C53B73B9E335}" name="South East_x000a_(percentage)" dataDxfId="50"/>
    <tableColumn id="8" xr3:uid="{A292E4FF-DA14-4513-B5B3-D4178313FAB2}" name="South West_x000a_(percentage)" dataDxfId="4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CA94CA-72E0-49D0-9EED-A1BE7CFEF05E}" name="Table_3b" displayName="Table_3b" ref="A4:H12" totalsRowShown="0">
  <autoFilter ref="A4:H12" xr:uid="{B6CA94CA-72E0-49D0-9EED-A1BE7CFEF05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FD50AD0-59BA-4DAC-8455-D3643451D058}" name="Time period" dataDxfId="48"/>
    <tableColumn id="2" xr3:uid="{34FEF0B0-1996-4CA2-A9A9-53E9CD86E1F3}" name="National Highways (percentage)" dataDxfId="47"/>
    <tableColumn id="3" xr3:uid="{2D3B3AF3-B2D1-40BE-BC53-E4D7F12628BE}" name="Yorkshire and North East_x000a_(percentage)" dataDxfId="46"/>
    <tableColumn id="4" xr3:uid="{5ACCA057-6928-4664-A583-F63D8A977760}" name="North West_x000a_(percentage)" dataDxfId="45"/>
    <tableColumn id="5" xr3:uid="{7149C8BB-ABE2-44AB-BB34-8C2120F83F75}" name="Midlands_x000a_(percentage)" dataDxfId="44"/>
    <tableColumn id="6" xr3:uid="{D1FC4249-6762-4C2F-A7F5-522082831F3D}" name="East_x000a_(percentage)" dataDxfId="43"/>
    <tableColumn id="7" xr3:uid="{A09168CE-16EA-459A-B6F7-252EC755EBDE}" name="South East_x000a_(percentage)" dataDxfId="42"/>
    <tableColumn id="8" xr3:uid="{701B3DEE-31DF-4091-AB37-0C024F328416}" name="South West_x000a_(percentage)" dataDxfId="4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3D3F2D0-A909-492D-B0BD-FD6587B5B410}" name="Table_3c" displayName="Table_3c" ref="A3:B6" totalsRowShown="0">
  <autoFilter ref="A3:B6" xr:uid="{B3D3F2D0-A909-492D-B0BD-FD6587B5B410}">
    <filterColumn colId="0" hiddenButton="1"/>
    <filterColumn colId="1" hiddenButton="1"/>
  </autoFilter>
  <tableColumns count="2">
    <tableColumn id="1" xr3:uid="{F8827165-EAF7-4498-AD07-42E0EFFAC613}" name="Time period" dataDxfId="40"/>
    <tableColumn id="2" xr3:uid="{A9D704A0-E28C-4EA2-A915-BCA4D315D347}" name="National Highways (percentage)" dataDxfId="3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3E07C0-6D21-4818-A70A-9F1117E75973}" name="Table_3d" displayName="Table_3d" ref="A3:H6" totalsRowShown="0" headerRowDxfId="38" dataDxfId="37">
  <autoFilter ref="A3:H6" xr:uid="{AB3E07C0-6D21-4818-A70A-9F1117E7597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3BD7B56-1776-4DBC-AD00-C98636CB7B9F}" name="Time period" dataDxfId="36"/>
    <tableColumn id="2" xr3:uid="{771CCAFA-B488-417B-B3E6-DCD0A6D95A20}" name="National Highways (percentage)" dataDxfId="35"/>
    <tableColumn id="3" xr3:uid="{BA28201C-6DCB-4814-9123-890A22C651AB}" name="Yorkshire and North East_x000a_(percentage)" dataDxfId="34"/>
    <tableColumn id="4" xr3:uid="{C40BCE1C-9CE5-4671-A4DE-E5C394D899D5}" name="North West_x000a_(percentage)" dataDxfId="33"/>
    <tableColumn id="5" xr3:uid="{6050FB36-BDED-4410-9AA3-C7E1EDADE877}" name="Midlands_x000a_(percentage)" dataDxfId="32"/>
    <tableColumn id="6" xr3:uid="{3D131B49-5B3E-487C-88F0-B5D74F785E5A}" name="East_x000a_(percentage)" dataDxfId="31"/>
    <tableColumn id="7" xr3:uid="{0E783149-79CD-4AA0-8754-D13ECE8CD0D0}" name="South East_x000a_(percentage)" dataDxfId="30"/>
    <tableColumn id="8" xr3:uid="{5F5DF218-6A61-4BE9-9160-65DE6809232E}" name="South West_x000a_(percentage)" dataDxfId="2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EC45601-81A3-428E-9EAE-9CB91F1FE398}" name="Table_3e" displayName="Table_3e" ref="A3:H6" totalsRowShown="0" headerRowDxfId="28" dataDxfId="27">
  <autoFilter ref="A3:H6" xr:uid="{BEC45601-81A3-428E-9EAE-9CB91F1FE39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A256C41-F577-4E2B-A5C3-968C8380B5E7}" name="Time period" dataDxfId="26"/>
    <tableColumn id="2" xr3:uid="{2CF37AA8-762B-42FC-A85F-B9E756304800}" name="National Highways (percentage)" dataDxfId="25"/>
    <tableColumn id="3" xr3:uid="{7A66181A-97C9-4018-91BC-DFE50B68FC69}" name="Yorkshire and North East_x000a_(percentage)" dataDxfId="24"/>
    <tableColumn id="4" xr3:uid="{D874B339-2CE8-46F4-8146-FC0DCD9201CA}" name="North West_x000a_(percentage)" dataDxfId="23"/>
    <tableColumn id="5" xr3:uid="{5F83B7B9-DF82-4205-BC39-92F6DC93E51B}" name="Midlands_x000a_(percentage)" dataDxfId="22"/>
    <tableColumn id="6" xr3:uid="{2937CEED-62B3-47C8-8E9E-00CB6F59C7FD}" name="East_x000a_(percentage)" dataDxfId="21"/>
    <tableColumn id="7" xr3:uid="{62439521-7C1A-4D68-91E5-F54E41144834}" name="South East_x000a_(percentage)" dataDxfId="20"/>
    <tableColumn id="8" xr3:uid="{192E5118-F071-4549-B4E2-B9754DD8559C}" name="South West_x000a_(percentage)" dataDxfId="1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A444DA2-B8F3-46FE-96B5-F5BE33D5A18A}" name="data" displayName="data" ref="B1:J26" totalsRowShown="0" headerRowDxfId="18" tableBorderDxfId="17">
  <autoFilter ref="B1:J26" xr:uid="{5A444DA2-B8F3-46FE-96B5-F5BE33D5A18A}"/>
  <tableColumns count="9">
    <tableColumn id="1" xr3:uid="{C45BD51D-B5BA-4C81-8502-67939733967B}" name="Year" dataDxfId="16">
      <calculatedColumnFormula>IF(ISNUMBER(SEARCH("2015",A2)),"2015-16",IF(ISNUMBER(SEARCH("2016",A2)),"2016-17",IF(ISNUMBER(SEARCH("2017",A2)),"2017-18",IF(ISNUMBER(SEARCH("2018",A2)),"2018-19",IF(ISNUMBER(SEARCH("2019",A2)),"2019-20",IF(ISNUMBER(SEARCH("2020",A2)),"2020-21",IF(ISNUMBER(SEARCH("2021",A2)),"2021-22",IF(ISNUMBER(SEARCH("2022",A2)),"2022-23",IF(ISNUMBER(SEARCH("2023",A2)),"2023-24",IF(ISNUMBER(SEARCH("2024",A2)),"2024-25",IF(ISNUMBER(SEARCH("2025",A2)),"2025-26","")))))))))))</calculatedColumnFormula>
    </tableColumn>
    <tableColumn id="2" xr3:uid="{E9BD4507-900A-4487-B46D-F3A04133BCC0}" name="KPI/PI" dataDxfId="15"/>
    <tableColumn id="3" xr3:uid="{FFD30F0C-7188-449B-BE24-7157CA484577}" name="National Highways" dataDxfId="14"/>
    <tableColumn id="4" xr3:uid="{50056F5F-5271-4217-83C9-3CB85CBB9655}" name="Yorkshire and North East"/>
    <tableColumn id="5" xr3:uid="{0481A54A-E04D-4A8C-84A8-196E5D67856A}" name="North West_x000a_"/>
    <tableColumn id="6" xr3:uid="{305B907A-8D0C-4E94-937B-94FD99417B14}" name="Midlands_x000a_"/>
    <tableColumn id="7" xr3:uid="{F3982A6B-D41B-45FF-B5A8-4A5A4FCC05FB}" name="East_x000a_"/>
    <tableColumn id="8" xr3:uid="{BBC3FF41-64FE-422B-A550-F759D00BE13D}" name="South East_x000a_"/>
    <tableColumn id="9" xr3:uid="{B602D901-B5E6-4572-AE6A-FC06DE78998A}" name="South West_x000a_"/>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view.officeapps.live.com/op/view.aspx?src=https%3A%2F%2Fnationalhighways.co.uk%2Fmedia%2Fvqspujiz%2F2022-23-performance-monitoring-statements.xlsx&amp;wdOrigin=BROWSELINK" TargetMode="External"/><Relationship Id="rId3" Type="http://schemas.openxmlformats.org/officeDocument/2006/relationships/hyperlink" Target="https://view.officeapps.live.com/op/view.aspx?src=https%3A%2F%2Fnationalhighways.co.uk%2Fmedia%2Ffpxgaxyl%2F2021-22-nh-regional-performance-disaggregation-final.xlsx&amp;wdOrigin=BROWSELINK" TargetMode="External"/><Relationship Id="rId7" Type="http://schemas.openxmlformats.org/officeDocument/2006/relationships/hyperlink" Target="https://view.officeapps.live.com/op/view.aspx?src=https%3A%2F%2Fnationalhighways.co.uk%2Fmedia%2Fenwfaxpy%2F2021-22-performance-monitoring-statements.xlsx&amp;wdOrigin=BROWSELINK" TargetMode="External"/><Relationship Id="rId2"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wmgjlzbl%2Fperformance-monitoring-statements-2019-20.xlsm&amp;wdOrigin=BROWSELINK" TargetMode="External"/><Relationship Id="rId11" Type="http://schemas.openxmlformats.org/officeDocument/2006/relationships/printerSettings" Target="../printerSettings/printerSettings1.bin"/><Relationship Id="rId5" Type="http://schemas.openxmlformats.org/officeDocument/2006/relationships/hyperlink" Target="https://view.officeapps.live.com/op/view.aspx?src=https%3A%2F%2Fnationalhighways.co.uk%2Fmedia%2Fj5fhxb2h%2F2020-21-performance-monitoring-statements.xlsx&amp;wdOrigin=BROWSELINK" TargetMode="External"/><Relationship Id="rId10" Type="http://schemas.openxmlformats.org/officeDocument/2006/relationships/hyperlink" Target="https://nationalhighways.co.uk/media/dnen52ja/abr-v5-171023.pdf" TargetMode="External"/><Relationship Id="rId4" Type="http://schemas.openxmlformats.org/officeDocument/2006/relationships/hyperlink" Target="https://nationalhighways.co.uk/media/qe1cjb2b/lee21_0022_network_management-03-03-2021_nh_v5-copy.pdf" TargetMode="External"/><Relationship Id="rId9" Type="http://schemas.openxmlformats.org/officeDocument/2006/relationships/hyperlink" Target="https://nationalhighways.co.uk/media/5paempnz/ris2-omm-published-18-july-2023-final.pdf"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1"/>
  <sheetViews>
    <sheetView zoomScaleNormal="100" workbookViewId="0"/>
  </sheetViews>
  <sheetFormatPr defaultColWidth="9" defaultRowHeight="15.75"/>
  <cols>
    <col min="1" max="1" width="146.59765625" style="3" customWidth="1"/>
    <col min="2" max="2" width="9" style="3" customWidth="1"/>
    <col min="3" max="3" width="10.59765625" style="3" bestFit="1" customWidth="1"/>
    <col min="4" max="16384" width="9" style="3"/>
  </cols>
  <sheetData>
    <row r="1" spans="1:1" customFormat="1" ht="30" customHeight="1">
      <c r="A1" s="23" t="s">
        <v>0</v>
      </c>
    </row>
    <row r="2" spans="1:1" customFormat="1" ht="375.75" customHeight="1">
      <c r="A2" s="1" t="s">
        <v>1</v>
      </c>
    </row>
    <row r="3" spans="1:1" customFormat="1" ht="87" customHeight="1">
      <c r="A3" s="1" t="s">
        <v>2</v>
      </c>
    </row>
    <row r="4" spans="1:1" customFormat="1">
      <c r="A4" s="34" t="s">
        <v>3</v>
      </c>
    </row>
    <row r="5" spans="1:1" customFormat="1" ht="31.5">
      <c r="A5" s="1" t="s">
        <v>4</v>
      </c>
    </row>
    <row r="6" spans="1:1" customFormat="1" ht="21.75" customHeight="1">
      <c r="A6" s="1" t="s">
        <v>5</v>
      </c>
    </row>
    <row r="7" spans="1:1" customFormat="1">
      <c r="A7" s="25" t="s">
        <v>6</v>
      </c>
    </row>
    <row r="8" spans="1:1" customFormat="1" ht="18">
      <c r="A8" s="28" t="s">
        <v>7</v>
      </c>
    </row>
    <row r="9" spans="1:1" customFormat="1">
      <c r="A9" s="1" t="s">
        <v>8</v>
      </c>
    </row>
    <row r="10" spans="1:1" customFormat="1">
      <c r="A10" s="113" t="s">
        <v>9</v>
      </c>
    </row>
    <row r="11" spans="1:1" customFormat="1">
      <c r="A11" s="34" t="s">
        <v>10</v>
      </c>
    </row>
    <row r="12" spans="1:1" customFormat="1">
      <c r="A12" s="114" t="s">
        <v>11</v>
      </c>
    </row>
    <row r="13" spans="1:1" customFormat="1">
      <c r="A13" s="25" t="s">
        <v>12</v>
      </c>
    </row>
    <row r="14" spans="1:1" customFormat="1">
      <c r="A14" s="1" t="s">
        <v>13</v>
      </c>
    </row>
    <row r="15" spans="1:1" s="105" customFormat="1" ht="17.25" customHeight="1">
      <c r="A15" s="25" t="s">
        <v>14</v>
      </c>
    </row>
    <row r="16" spans="1:1" customFormat="1">
      <c r="A16" s="34" t="s">
        <v>15</v>
      </c>
    </row>
    <row r="17" spans="1:1" customFormat="1">
      <c r="A17" s="25" t="s">
        <v>16</v>
      </c>
    </row>
    <row r="18" spans="1:1" customFormat="1">
      <c r="A18" s="17" t="s">
        <v>17</v>
      </c>
    </row>
    <row r="19" spans="1:1" customFormat="1" ht="18">
      <c r="A19" s="29" t="s">
        <v>18</v>
      </c>
    </row>
    <row r="20" spans="1:1" customFormat="1">
      <c r="A20" s="19" t="s">
        <v>19</v>
      </c>
    </row>
    <row r="21" spans="1:1" customFormat="1" ht="18">
      <c r="A21" s="30" t="s">
        <v>20</v>
      </c>
    </row>
    <row r="22" spans="1:1" customFormat="1">
      <c r="A22" s="19" t="s">
        <v>21</v>
      </c>
    </row>
    <row r="23" spans="1:1" customFormat="1" ht="18">
      <c r="A23" s="30" t="s">
        <v>22</v>
      </c>
    </row>
    <row r="24" spans="1:1" customFormat="1">
      <c r="A24" s="19" t="s">
        <v>23</v>
      </c>
    </row>
    <row r="25" spans="1:1" customFormat="1" ht="18">
      <c r="A25" s="31" t="s">
        <v>24</v>
      </c>
    </row>
    <row r="26" spans="1:1" customFormat="1">
      <c r="A26" s="2" t="s">
        <v>25</v>
      </c>
    </row>
    <row r="27" spans="1:1" customFormat="1">
      <c r="A27" s="2" t="s">
        <v>26</v>
      </c>
    </row>
    <row r="28" spans="1:1" customFormat="1" ht="18">
      <c r="A28" s="32" t="s">
        <v>27</v>
      </c>
    </row>
    <row r="29" spans="1:1" customFormat="1">
      <c r="A29" s="26" t="s">
        <v>28</v>
      </c>
    </row>
    <row r="30" spans="1:1" customFormat="1">
      <c r="A30" s="2" t="s">
        <v>29</v>
      </c>
    </row>
    <row r="31" spans="1:1">
      <c r="A31" s="3" t="s">
        <v>30</v>
      </c>
    </row>
  </sheetData>
  <hyperlinks>
    <hyperlink ref="A29" r:id="rId1" xr:uid="{6F7D9735-E03E-48F1-A7D1-8229778D1B6F}"/>
    <hyperlink ref="A17" r:id="rId2" xr:uid="{D98F9E7D-1A8F-4914-8033-18C97F1D9616}"/>
    <hyperlink ref="A16" r:id="rId3" xr:uid="{5898D66E-ED96-464F-B951-E21F38D1B2A8}"/>
    <hyperlink ref="A4" r:id="rId4" xr:uid="{659650A5-7377-4D66-A9FF-24AC4B53B697}"/>
    <hyperlink ref="A12" r:id="rId5" xr:uid="{9F2784F0-DC8F-4577-9AF6-4425FAC2EC83}"/>
    <hyperlink ref="A13" r:id="rId6" xr:uid="{05BAAF0E-60AE-4A88-8D87-0259709EA7F4}"/>
    <hyperlink ref="A11" r:id="rId7" xr:uid="{1F9A9C9F-C53F-44EC-91BE-79480A1210BB}"/>
    <hyperlink ref="A10" r:id="rId8" xr:uid="{A7D5F9D9-C4B2-4A59-BC9E-96A91E22B0C7}"/>
    <hyperlink ref="A7" r:id="rId9" xr:uid="{643DA681-8144-4BAE-A12D-D207A46555E6}"/>
    <hyperlink ref="A15" r:id="rId10" xr:uid="{158A0023-972B-4F03-A4E7-C1811E80E46F}"/>
  </hyperlinks>
  <pageMargins left="0.70000000000000007" right="0.70000000000000007" top="0.75" bottom="0.75" header="0.30000000000000004" footer="0.30000000000000004"/>
  <pageSetup paperSize="9" fitToWidth="0" fitToHeight="0" orientation="portrait"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A6DB2-6B52-47FF-85E2-6A24185FA0D2}">
  <sheetPr codeName="Sheet9">
    <tabColor rgb="FFFFC000"/>
  </sheetPr>
  <dimension ref="A1:J26"/>
  <sheetViews>
    <sheetView workbookViewId="0"/>
  </sheetViews>
  <sheetFormatPr defaultRowHeight="14.25"/>
  <cols>
    <col min="1" max="1" width="26" customWidth="1"/>
    <col min="3" max="3" width="19" bestFit="1" customWidth="1"/>
    <col min="4" max="4" width="19.1328125" bestFit="1" customWidth="1"/>
    <col min="5" max="5" width="22" customWidth="1"/>
  </cols>
  <sheetData>
    <row r="1" spans="1:10" ht="39.4">
      <c r="A1" s="76" t="s">
        <v>95</v>
      </c>
      <c r="B1" s="81" t="s">
        <v>96</v>
      </c>
      <c r="C1" s="81" t="s">
        <v>97</v>
      </c>
      <c r="D1" s="82" t="s">
        <v>98</v>
      </c>
      <c r="E1" s="82" t="s">
        <v>99</v>
      </c>
      <c r="F1" s="82" t="s">
        <v>100</v>
      </c>
      <c r="G1" s="82" t="s">
        <v>101</v>
      </c>
      <c r="H1" s="82" t="s">
        <v>102</v>
      </c>
      <c r="I1" s="82" t="s">
        <v>103</v>
      </c>
      <c r="J1" s="83" t="s">
        <v>104</v>
      </c>
    </row>
    <row r="2" spans="1:10" ht="15" customHeight="1">
      <c r="A2" s="84" t="s">
        <v>78</v>
      </c>
      <c r="B2" s="77" t="str">
        <f>IF(ISNUMBER(SEARCH("2015",A2)),"2015-16",IF(ISNUMBER(SEARCH("2016",A2)),"2016-17",IF(ISNUMBER(SEARCH("2017",A2)),"2017-18",IF(ISNUMBER(SEARCH("2018",A2)),"2018-19",IF(ISNUMBER(SEARCH("2019",A2)),"2019-20",IF(ISNUMBER(SEARCH("2020",A2)),"2020-21",IF(ISNUMBER(SEARCH("2021",A2)),"2021-22",IF(ISNUMBER(SEARCH("2022",A2)),"2022-23",IF(ISNUMBER(SEARCH("2023",A2)),"2023-24",IF(ISNUMBER(SEARCH("2024",A2)),"2024-25",IF(ISNUMBER(SEARCH("2025",A2)),"2025-26","")))))))))))</f>
        <v>2015-16</v>
      </c>
      <c r="C2" s="77" t="s">
        <v>105</v>
      </c>
      <c r="D2" s="78">
        <f>VLOOKUP(A2,Table_3a[#All],2,FALSE)</f>
        <v>92.300000000000011</v>
      </c>
      <c r="E2" s="78">
        <f>VLOOKUP(A2,Table_3a[#All],3,FALSE)</f>
        <v>93.179999999999993</v>
      </c>
      <c r="F2" s="78">
        <f>VLOOKUP(A2,Table_3a[#All],4,FALSE)</f>
        <v>95.04</v>
      </c>
      <c r="G2" s="78">
        <f>VLOOKUP(A2,Table_3a[#All],5,FALSE)</f>
        <v>89.56</v>
      </c>
      <c r="H2" s="78">
        <f>VLOOKUP(A2,Table_3a[#All],6,FALSE)</f>
        <v>90.539999999999992</v>
      </c>
      <c r="I2" s="78">
        <f>VLOOKUP(A2,Table_3a[#All],7,FALSE)</f>
        <v>93.67</v>
      </c>
      <c r="J2" s="85">
        <f>VLOOKUP(A2,Table_3a[#All],8,FALSE)</f>
        <v>93.47</v>
      </c>
    </row>
    <row r="3" spans="1:10" ht="15" customHeight="1">
      <c r="A3" s="86" t="s">
        <v>79</v>
      </c>
      <c r="B3" s="79" t="str">
        <f t="shared" ref="B3:B25" si="0">IF(ISNUMBER(SEARCH("2015",A3)),"2015-16",IF(ISNUMBER(SEARCH("2016",A3)),"2016-17",IF(ISNUMBER(SEARCH("2017",A3)),"2017-18",IF(ISNUMBER(SEARCH("2018",A3)),"2018-19",IF(ISNUMBER(SEARCH("2019",A3)),"2019-20",IF(ISNUMBER(SEARCH("2020",A3)),"2020-21",IF(ISNUMBER(SEARCH("2021",A3)),"2021-22",IF(ISNUMBER(SEARCH("2022",A3)),"2022-23",IF(ISNUMBER(SEARCH("2023",A3)),"2023-24",IF(ISNUMBER(SEARCH("2024",A3)),"2024-25",IF(ISNUMBER(SEARCH("2025",A3)),"2025-26","")))))))))))</f>
        <v>2016-17</v>
      </c>
      <c r="C3" s="79" t="s">
        <v>105</v>
      </c>
      <c r="D3" s="80">
        <f>VLOOKUP(A3,Table_3a[#All],2,FALSE)</f>
        <v>94.3</v>
      </c>
      <c r="E3" s="80">
        <f>VLOOKUP(A3,Table_3a[#All],3,FALSE)</f>
        <v>95.199999999999989</v>
      </c>
      <c r="F3" s="80">
        <f>VLOOKUP(A3,Table_3a[#All],4,FALSE)</f>
        <v>97.1</v>
      </c>
      <c r="G3" s="80">
        <f>VLOOKUP(A3,Table_3a[#All],5,FALSE)</f>
        <v>91.5</v>
      </c>
      <c r="H3" s="80">
        <f>VLOOKUP(A3,Table_3a[#All],6,FALSE)</f>
        <v>92.5</v>
      </c>
      <c r="I3" s="80">
        <f>VLOOKUP(A3,Table_3a[#All],7,FALSE)</f>
        <v>95.7</v>
      </c>
      <c r="J3" s="87">
        <f>VLOOKUP(A3,Table_3a[#All],8,FALSE)</f>
        <v>95.5</v>
      </c>
    </row>
    <row r="4" spans="1:10" ht="15" customHeight="1">
      <c r="A4" s="84" t="s">
        <v>80</v>
      </c>
      <c r="B4" s="77" t="str">
        <f t="shared" si="0"/>
        <v>2017-18</v>
      </c>
      <c r="C4" s="77" t="s">
        <v>105</v>
      </c>
      <c r="D4" s="78">
        <f>VLOOKUP(A4,Table_3a[#All],2,FALSE)</f>
        <v>95.199999999999989</v>
      </c>
      <c r="E4" s="78">
        <f>VLOOKUP(A4,Table_3a[#All],3,FALSE)</f>
        <v>95.3</v>
      </c>
      <c r="F4" s="78">
        <f>VLOOKUP(A4,Table_3a[#All],4,FALSE)</f>
        <v>97.399999999999991</v>
      </c>
      <c r="G4" s="78">
        <f>VLOOKUP(A4,Table_3a[#All],5,FALSE)</f>
        <v>93.5</v>
      </c>
      <c r="H4" s="78">
        <f>VLOOKUP(A4,Table_3a[#All],6,FALSE)</f>
        <v>92.600000000000009</v>
      </c>
      <c r="I4" s="78">
        <f>VLOOKUP(A4,Table_3a[#All],7,FALSE)</f>
        <v>96.7</v>
      </c>
      <c r="J4" s="85">
        <f>VLOOKUP(A4,Table_3a[#All],8,FALSE)</f>
        <v>96.7</v>
      </c>
    </row>
    <row r="5" spans="1:10" ht="15" customHeight="1">
      <c r="A5" s="86" t="s">
        <v>81</v>
      </c>
      <c r="B5" s="79" t="str">
        <f t="shared" si="0"/>
        <v>2018-19</v>
      </c>
      <c r="C5" s="79" t="s">
        <v>105</v>
      </c>
      <c r="D5" s="80">
        <f>VLOOKUP(A5,Table_3a[#All],2,FALSE)</f>
        <v>95.5</v>
      </c>
      <c r="E5" s="80">
        <f>VLOOKUP(A5,Table_3a[#All],3,FALSE)</f>
        <v>96.8</v>
      </c>
      <c r="F5" s="80">
        <f>VLOOKUP(A5,Table_3a[#All],4,FALSE)</f>
        <v>97.2</v>
      </c>
      <c r="G5" s="80">
        <f>VLOOKUP(A5,Table_3a[#All],5,FALSE)</f>
        <v>93.5</v>
      </c>
      <c r="H5" s="80">
        <f>VLOOKUP(A5,Table_3a[#All],6,FALSE)</f>
        <v>94</v>
      </c>
      <c r="I5" s="80">
        <f>VLOOKUP(A5,Table_3a[#All],7,FALSE)</f>
        <v>96.6</v>
      </c>
      <c r="J5" s="87">
        <f>VLOOKUP(A5,Table_3a[#All],8,FALSE)</f>
        <v>96.1</v>
      </c>
    </row>
    <row r="6" spans="1:10" ht="15" customHeight="1">
      <c r="A6" s="84" t="s">
        <v>82</v>
      </c>
      <c r="B6" s="77" t="str">
        <f t="shared" si="0"/>
        <v>2019-20</v>
      </c>
      <c r="C6" s="77" t="s">
        <v>105</v>
      </c>
      <c r="D6" s="78">
        <f>VLOOKUP(A6,Table_3a[#All],2,FALSE)</f>
        <v>95.4</v>
      </c>
      <c r="E6" s="78">
        <f>VLOOKUP(A6,Table_3a[#All],3,FALSE)</f>
        <v>96.899999999999991</v>
      </c>
      <c r="F6" s="78">
        <f>VLOOKUP(A6,Table_3a[#All],4,FALSE)</f>
        <v>96.7</v>
      </c>
      <c r="G6" s="78">
        <f>VLOOKUP(A6,Table_3a[#All],5,FALSE)</f>
        <v>93.7</v>
      </c>
      <c r="H6" s="78">
        <f>VLOOKUP(A6,Table_3a[#All],6,FALSE)</f>
        <v>94.3</v>
      </c>
      <c r="I6" s="78">
        <f>VLOOKUP(A6,Table_3a[#All],7,FALSE)</f>
        <v>96.5</v>
      </c>
      <c r="J6" s="85">
        <f>VLOOKUP(A6,Table_3a[#All],8,FALSE)</f>
        <v>95.3</v>
      </c>
    </row>
    <row r="7" spans="1:10" ht="15" customHeight="1">
      <c r="A7" s="86" t="s">
        <v>83</v>
      </c>
      <c r="B7" s="79" t="str">
        <f t="shared" si="0"/>
        <v>2020-21</v>
      </c>
      <c r="C7" s="79" t="s">
        <v>105</v>
      </c>
      <c r="D7" s="80">
        <f>VLOOKUP(A7,Table_3a[#All],2,FALSE)</f>
        <v>95.199999999999989</v>
      </c>
      <c r="E7" s="80">
        <f>VLOOKUP(A7,Table_3a[#All],3,FALSE)</f>
        <v>95.6</v>
      </c>
      <c r="F7" s="80">
        <f>VLOOKUP(A7,Table_3a[#All],4,FALSE)</f>
        <v>97.2</v>
      </c>
      <c r="G7" s="80">
        <f>VLOOKUP(A7,Table_3a[#All],5,FALSE)</f>
        <v>94.399999999999991</v>
      </c>
      <c r="H7" s="80">
        <f>VLOOKUP(A7,Table_3a[#All],6,FALSE)</f>
        <v>92.100000000000009</v>
      </c>
      <c r="I7" s="80">
        <f>VLOOKUP(A7,Table_3a[#All],7,FALSE)</f>
        <v>96.6</v>
      </c>
      <c r="J7" s="87">
        <f>VLOOKUP(A7,Table_3a[#All],8,FALSE)</f>
        <v>96</v>
      </c>
    </row>
    <row r="8" spans="1:10" ht="15" customHeight="1">
      <c r="A8" s="84" t="s">
        <v>84</v>
      </c>
      <c r="B8" s="77" t="str">
        <f t="shared" si="0"/>
        <v>2021-22</v>
      </c>
      <c r="C8" s="77" t="s">
        <v>105</v>
      </c>
      <c r="D8" s="78">
        <f>VLOOKUP(A8,Table_3a[#All],2,FALSE)</f>
        <v>95.5</v>
      </c>
      <c r="E8" s="78">
        <f>VLOOKUP(A8,Table_3a[#All],3,FALSE)</f>
        <v>96</v>
      </c>
      <c r="F8" s="78">
        <f>VLOOKUP(A8,Table_3a[#All],4,FALSE)</f>
        <v>96.4</v>
      </c>
      <c r="G8" s="78">
        <f>VLOOKUP(A8,Table_3a[#All],5,FALSE)</f>
        <v>94.3</v>
      </c>
      <c r="H8" s="78">
        <f>VLOOKUP(A8,Table_3a[#All],6,FALSE)</f>
        <v>93.2</v>
      </c>
      <c r="I8" s="78">
        <f>VLOOKUP(A8,Table_3a[#All],7,FALSE)</f>
        <v>96.4</v>
      </c>
      <c r="J8" s="85">
        <f>VLOOKUP(A8,Table_3a[#All],8,FALSE)</f>
        <v>97.3</v>
      </c>
    </row>
    <row r="9" spans="1:10" ht="15" customHeight="1">
      <c r="A9" s="84" t="s">
        <v>90</v>
      </c>
      <c r="B9" s="77" t="str">
        <f t="shared" ref="B9:B14" si="1">IF(ISNUMBER(SEARCH("2015",A9)),"2015-16",IF(ISNUMBER(SEARCH("2016",A9)),"2016-17",IF(ISNUMBER(SEARCH("2017",A9)),"2017-18",IF(ISNUMBER(SEARCH("2018",A9)),"2018-19",IF(ISNUMBER(SEARCH("2019",A9)),"2019-20",IF(ISNUMBER(SEARCH("2020",A9)),"2020-21",IF(ISNUMBER(SEARCH("2021",A9)),"2021-22",IF(ISNUMBER(SEARCH("2022",A9)),"2022-23",IF(ISNUMBER(SEARCH("2023",A9)),"2023-24",IF(ISNUMBER(SEARCH("2024",A9)),"2024-25",IF(ISNUMBER(SEARCH("2025",A9)),"2025-26","")))))))))))</f>
        <v>2022-23</v>
      </c>
      <c r="C9" s="77" t="s">
        <v>105</v>
      </c>
      <c r="D9" s="78" t="e">
        <f>VLOOKUP(A9,Table_3a[#All],2,FALSE)</f>
        <v>#N/A</v>
      </c>
      <c r="E9" s="78" t="e">
        <f>VLOOKUP(A9,Table_3a[#All],3,FALSE)</f>
        <v>#N/A</v>
      </c>
      <c r="F9" s="78" t="e">
        <f>VLOOKUP(A9,Table_3a[#All],4,FALSE)</f>
        <v>#N/A</v>
      </c>
      <c r="G9" s="78" t="e">
        <f>VLOOKUP(A9,Table_3a[#All],5,FALSE)</f>
        <v>#N/A</v>
      </c>
      <c r="H9" s="78" t="e">
        <f>VLOOKUP(A9,Table_3a[#All],6,FALSE)</f>
        <v>#N/A</v>
      </c>
      <c r="I9" s="78" t="e">
        <f>VLOOKUP(A9,Table_3a[#All],7,FALSE)</f>
        <v>#N/A</v>
      </c>
      <c r="J9" s="85" t="e">
        <f>VLOOKUP(A9,Table_3a[#All],8,FALSE)</f>
        <v>#N/A</v>
      </c>
    </row>
    <row r="10" spans="1:10" ht="15" customHeight="1">
      <c r="A10" s="84" t="s">
        <v>78</v>
      </c>
      <c r="B10" s="77" t="str">
        <f t="shared" si="1"/>
        <v>2015-16</v>
      </c>
      <c r="C10" s="77" t="s">
        <v>106</v>
      </c>
      <c r="D10" s="78">
        <v>79.100000000000009</v>
      </c>
      <c r="E10" s="78"/>
      <c r="F10" s="78"/>
      <c r="G10" s="78"/>
      <c r="H10" s="78"/>
      <c r="I10" s="78"/>
      <c r="J10" s="85"/>
    </row>
    <row r="11" spans="1:10" ht="15" customHeight="1">
      <c r="A11" s="86" t="s">
        <v>79</v>
      </c>
      <c r="B11" s="77" t="str">
        <f t="shared" si="1"/>
        <v>2016-17</v>
      </c>
      <c r="C11" s="77" t="s">
        <v>106</v>
      </c>
      <c r="D11" s="78">
        <v>79.2</v>
      </c>
      <c r="E11" s="78"/>
      <c r="F11" s="78"/>
      <c r="G11" s="78"/>
      <c r="H11" s="78"/>
      <c r="I11" s="78"/>
      <c r="J11" s="85"/>
    </row>
    <row r="12" spans="1:10" ht="15" customHeight="1">
      <c r="A12" s="84" t="s">
        <v>80</v>
      </c>
      <c r="B12" s="77" t="str">
        <f t="shared" si="1"/>
        <v>2017-18</v>
      </c>
      <c r="C12" s="77" t="s">
        <v>106</v>
      </c>
      <c r="D12" s="78">
        <v>79.800000000000011</v>
      </c>
      <c r="E12" s="78"/>
      <c r="F12" s="78"/>
      <c r="G12" s="78"/>
      <c r="H12" s="78"/>
      <c r="I12" s="78"/>
      <c r="J12" s="85"/>
    </row>
    <row r="13" spans="1:10" ht="15" customHeight="1">
      <c r="A13" s="86" t="s">
        <v>81</v>
      </c>
      <c r="B13" s="77" t="str">
        <f t="shared" si="1"/>
        <v>2018-19</v>
      </c>
      <c r="C13" s="77" t="s">
        <v>106</v>
      </c>
      <c r="D13" s="78">
        <v>79.800000000000011</v>
      </c>
      <c r="E13" s="78"/>
      <c r="F13" s="78"/>
      <c r="G13" s="78"/>
      <c r="H13" s="78"/>
      <c r="I13" s="78"/>
      <c r="J13" s="85"/>
    </row>
    <row r="14" spans="1:10" ht="15" customHeight="1">
      <c r="A14" s="84" t="s">
        <v>82</v>
      </c>
      <c r="B14" s="77" t="str">
        <f t="shared" si="1"/>
        <v>2019-20</v>
      </c>
      <c r="C14" s="77" t="s">
        <v>106</v>
      </c>
      <c r="D14" s="78">
        <v>80.489999999999995</v>
      </c>
      <c r="E14" s="78"/>
      <c r="F14" s="78"/>
      <c r="G14" s="78"/>
      <c r="H14" s="78"/>
      <c r="I14" s="78"/>
      <c r="J14" s="85"/>
    </row>
    <row r="15" spans="1:10" ht="15" customHeight="1">
      <c r="A15" s="88" t="s">
        <v>88</v>
      </c>
      <c r="B15" s="79" t="str">
        <f t="shared" si="0"/>
        <v>2020-21</v>
      </c>
      <c r="C15" s="79" t="s">
        <v>106</v>
      </c>
      <c r="D15" s="80">
        <f>VLOOKUP($A15,Table_3b[#All],COLUMN(E$1)-3,FALSE)</f>
        <v>85.4</v>
      </c>
      <c r="E15" s="80">
        <f>VLOOKUP($A15,Table_3b[#All],COLUMN(F$1)-3,FALSE)</f>
        <v>83.63</v>
      </c>
      <c r="F15" s="80">
        <f>VLOOKUP($A15,Table_3b[#All],COLUMN(G$1)-3,FALSE)</f>
        <v>84.24</v>
      </c>
      <c r="G15" s="80">
        <f>VLOOKUP($A15,Table_3b[#All],COLUMN(H$1)-3,FALSE)</f>
        <v>84.38</v>
      </c>
      <c r="H15" s="80">
        <f>VLOOKUP($A15,Table_3b[#All],COLUMN(I$1)-3,FALSE)</f>
        <v>84.82</v>
      </c>
      <c r="I15" s="80">
        <f>VLOOKUP($A15,Table_3b[#All],COLUMN(J$1)-3,FALSE)</f>
        <v>88.4</v>
      </c>
      <c r="J15" s="87">
        <f>VLOOKUP($A15,Table_3b[#All],COLUMN(K$1)-3,FALSE)</f>
        <v>85.48</v>
      </c>
    </row>
    <row r="16" spans="1:10" ht="15" customHeight="1">
      <c r="A16" s="89" t="s">
        <v>89</v>
      </c>
      <c r="B16" s="77" t="str">
        <f t="shared" si="0"/>
        <v>2021-22</v>
      </c>
      <c r="C16" s="77" t="s">
        <v>106</v>
      </c>
      <c r="D16" s="80">
        <f>VLOOKUP($A16,Table_3b[#All],COLUMN(E$1)-3,FALSE)</f>
        <v>85.3</v>
      </c>
      <c r="E16" s="80">
        <f>VLOOKUP($A16,Table_3b[#All],COLUMN(F$1)-3,FALSE)</f>
        <v>83.63</v>
      </c>
      <c r="F16" s="80">
        <f>VLOOKUP($A16,Table_3b[#All],COLUMN(G$1)-3,FALSE)</f>
        <v>84.24</v>
      </c>
      <c r="G16" s="80">
        <f>VLOOKUP($A16,Table_3b[#All],COLUMN(H$1)-3,FALSE)</f>
        <v>86.42</v>
      </c>
      <c r="H16" s="80">
        <f>VLOOKUP($A16,Table_3b[#All],COLUMN(I$1)-3,FALSE)</f>
        <v>84.82</v>
      </c>
      <c r="I16" s="80">
        <f>VLOOKUP($A16,Table_3b[#All],COLUMN(J$1)-3,FALSE)</f>
        <v>88.4</v>
      </c>
      <c r="J16" s="87">
        <f>VLOOKUP($A16,Table_3b[#All],COLUMN(K$1)-3,FALSE)</f>
        <v>85.48</v>
      </c>
    </row>
    <row r="17" spans="1:10" ht="15" customHeight="1">
      <c r="A17" s="84" t="s">
        <v>90</v>
      </c>
      <c r="B17" s="77" t="str">
        <f>IF(ISNUMBER(SEARCH("2015",A17)),"2015-16",IF(ISNUMBER(SEARCH("2016",A17)),"2016-17",IF(ISNUMBER(SEARCH("2017",A17)),"2017-18",IF(ISNUMBER(SEARCH("2018",A17)),"2018-19",IF(ISNUMBER(SEARCH("2019",A17)),"2019-20",IF(ISNUMBER(SEARCH("2020",A17)),"2020-21",IF(ISNUMBER(SEARCH("2021",A17)),"2021-22",IF(ISNUMBER(SEARCH("2022",A17)),"2022-23",IF(ISNUMBER(SEARCH("2023",A17)),"2023-24",IF(ISNUMBER(SEARCH("2024",A17)),"2024-25",IF(ISNUMBER(SEARCH("2025",A17)),"2025-26","")))))))))))</f>
        <v>2022-23</v>
      </c>
      <c r="C17" s="77" t="s">
        <v>106</v>
      </c>
      <c r="D17" s="80">
        <f>VLOOKUP($A17,Table_3b[#All],COLUMN(E$1)-3,FALSE)</f>
        <v>85.4</v>
      </c>
      <c r="E17" s="80">
        <f>VLOOKUP($A17,Table_3b[#All],COLUMN(F$1)-3,FALSE)</f>
        <v>84.6</v>
      </c>
      <c r="F17" s="80">
        <f>VLOOKUP($A17,Table_3b[#All],COLUMN(G$1)-3,FALSE)</f>
        <v>83.5</v>
      </c>
      <c r="G17" s="80">
        <f>VLOOKUP($A17,Table_3b[#All],COLUMN(H$1)-3,FALSE)</f>
        <v>85.7</v>
      </c>
      <c r="H17" s="80">
        <f>VLOOKUP($A17,Table_3b[#All],COLUMN(I$1)-3,FALSE)</f>
        <v>83.6</v>
      </c>
      <c r="I17" s="80">
        <f>VLOOKUP($A17,Table_3b[#All],COLUMN(J$1)-3,FALSE)</f>
        <v>88.1</v>
      </c>
      <c r="J17" s="87">
        <f>VLOOKUP($A17,Table_3b[#All],COLUMN(K$1)-3,FALSE)</f>
        <v>84.7</v>
      </c>
    </row>
    <row r="18" spans="1:10" ht="15" customHeight="1">
      <c r="A18" s="88" t="str">
        <f>Table_3c!A4</f>
        <v>April 2020 to March 2021</v>
      </c>
      <c r="B18" s="79" t="str">
        <f t="shared" si="0"/>
        <v>2020-21</v>
      </c>
      <c r="C18" s="79" t="s">
        <v>107</v>
      </c>
      <c r="D18" s="115">
        <f>VLOOKUP(A18,Table_3c[],2,FALSE)</f>
        <v>95.06</v>
      </c>
      <c r="E18" s="119"/>
      <c r="F18" s="119"/>
      <c r="G18" s="119"/>
      <c r="H18" s="119"/>
      <c r="I18" s="119"/>
      <c r="J18" s="120"/>
    </row>
    <row r="19" spans="1:10" ht="15" customHeight="1">
      <c r="A19" s="89" t="s">
        <v>89</v>
      </c>
      <c r="B19" s="77" t="str">
        <f t="shared" si="0"/>
        <v>2021-22</v>
      </c>
      <c r="C19" s="77" t="s">
        <v>107</v>
      </c>
      <c r="D19" s="117">
        <f>VLOOKUP(A19,Table_3c[],2,FALSE)</f>
        <v>96.88</v>
      </c>
      <c r="E19" s="121"/>
      <c r="F19" s="121"/>
      <c r="G19" s="121"/>
      <c r="H19" s="121"/>
      <c r="I19" s="121"/>
      <c r="J19" s="122"/>
    </row>
    <row r="20" spans="1:10" ht="15" customHeight="1">
      <c r="A20" s="84" t="s">
        <v>90</v>
      </c>
      <c r="B20" s="77" t="str">
        <f>IF(ISNUMBER(SEARCH("2015",A20)),"2015-16",IF(ISNUMBER(SEARCH("2016",A20)),"2016-17",IF(ISNUMBER(SEARCH("2017",A20)),"2017-18",IF(ISNUMBER(SEARCH("2018",A20)),"2018-19",IF(ISNUMBER(SEARCH("2019",A20)),"2019-20",IF(ISNUMBER(SEARCH("2020",A20)),"2020-21",IF(ISNUMBER(SEARCH("2021",A20)),"2021-22",IF(ISNUMBER(SEARCH("2022",A20)),"2022-23",IF(ISNUMBER(SEARCH("2023",A20)),"2023-24",IF(ISNUMBER(SEARCH("2024",A20)),"2024-25",IF(ISNUMBER(SEARCH("2025",A20)),"2025-26","")))))))))))</f>
        <v>2022-23</v>
      </c>
      <c r="C20" s="77" t="s">
        <v>107</v>
      </c>
      <c r="D20" s="117">
        <f>VLOOKUP(A20,Table_3c[],2,FALSE)</f>
        <v>95.31</v>
      </c>
      <c r="E20" s="121"/>
      <c r="F20" s="121"/>
      <c r="G20" s="121"/>
      <c r="H20" s="121"/>
      <c r="I20" s="121"/>
      <c r="J20" s="122"/>
    </row>
    <row r="21" spans="1:10" ht="15" customHeight="1">
      <c r="A21" s="88" t="s">
        <v>93</v>
      </c>
      <c r="B21" s="79" t="str">
        <f t="shared" si="0"/>
        <v>2020-21</v>
      </c>
      <c r="C21" s="79" t="s">
        <v>108</v>
      </c>
      <c r="D21" s="123">
        <f>VLOOKUP(A21,Table_3d[],2,FALSE)</f>
        <v>72</v>
      </c>
      <c r="E21" s="123">
        <f>VLOOKUP(A21,Table_3d[],3,FALSE)</f>
        <v>70</v>
      </c>
      <c r="F21" s="123">
        <f>VLOOKUP(A21,Table_3d[],4,FALSE)</f>
        <v>69</v>
      </c>
      <c r="G21" s="123">
        <f>VLOOKUP(A21,Table_3d[],5,FALSE)</f>
        <v>66</v>
      </c>
      <c r="H21" s="123">
        <f>VLOOKUP(A21,Table_3d[],6,FALSE)</f>
        <v>85</v>
      </c>
      <c r="I21" s="123">
        <f>VLOOKUP(A21,Table_3d[],7,FALSE)</f>
        <v>68</v>
      </c>
      <c r="J21" s="124">
        <f>VLOOKUP(A21,Table_3d[],8,FALSE)</f>
        <v>79</v>
      </c>
    </row>
    <row r="22" spans="1:10" ht="15" customHeight="1">
      <c r="A22" s="89" t="s">
        <v>89</v>
      </c>
      <c r="B22" s="77" t="str">
        <f t="shared" si="0"/>
        <v>2021-22</v>
      </c>
      <c r="C22" s="77" t="s">
        <v>108</v>
      </c>
      <c r="D22" s="125">
        <f>VLOOKUP(A22,Table_3d[],2,FALSE)</f>
        <v>71</v>
      </c>
      <c r="E22" s="125">
        <f>VLOOKUP(A22,Table_3d[],3,FALSE)</f>
        <v>69</v>
      </c>
      <c r="F22" s="125">
        <f>VLOOKUP(A22,Table_3d[],4,FALSE)</f>
        <v>68</v>
      </c>
      <c r="G22" s="125">
        <f>VLOOKUP(A22,Table_3d[],5,FALSE)</f>
        <v>67</v>
      </c>
      <c r="H22" s="125">
        <f>VLOOKUP(A22,Table_3d[],6,FALSE)</f>
        <v>82</v>
      </c>
      <c r="I22" s="125">
        <f>VLOOKUP(A22,Table_3d[],7,FALSE)</f>
        <v>68</v>
      </c>
      <c r="J22" s="126">
        <f>VLOOKUP(A22,Table_3d[],8,FALSE)</f>
        <v>77</v>
      </c>
    </row>
    <row r="23" spans="1:10" ht="15" customHeight="1">
      <c r="A23" s="84" t="s">
        <v>90</v>
      </c>
      <c r="B23" s="77" t="str">
        <f>IF(ISNUMBER(SEARCH("2015",A23)),"2015-16",IF(ISNUMBER(SEARCH("2016",A23)),"2016-17",IF(ISNUMBER(SEARCH("2017",A23)),"2017-18",IF(ISNUMBER(SEARCH("2018",A23)),"2018-19",IF(ISNUMBER(SEARCH("2019",A23)),"2019-20",IF(ISNUMBER(SEARCH("2020",A23)),"2020-21",IF(ISNUMBER(SEARCH("2021",A23)),"2021-22",IF(ISNUMBER(SEARCH("2022",A23)),"2022-23",IF(ISNUMBER(SEARCH("2023",A23)),"2023-24",IF(ISNUMBER(SEARCH("2024",A23)),"2024-25",IF(ISNUMBER(SEARCH("2025",A23)),"2025-26","")))))))))))</f>
        <v>2022-23</v>
      </c>
      <c r="C23" s="77" t="s">
        <v>108</v>
      </c>
      <c r="D23" s="125">
        <f>VLOOKUP(A23,Table_3d[],2,FALSE)</f>
        <v>69</v>
      </c>
      <c r="E23" s="125">
        <f>VLOOKUP(A23,Table_3d[],3,FALSE)</f>
        <v>69</v>
      </c>
      <c r="F23" s="125">
        <f>VLOOKUP(A23,Table_3d[],4,FALSE)</f>
        <v>70</v>
      </c>
      <c r="G23" s="125">
        <f>VLOOKUP(A23,Table_3d[],5,FALSE)</f>
        <v>66</v>
      </c>
      <c r="H23" s="125">
        <f>VLOOKUP(A23,Table_3d[],6,FALSE)</f>
        <v>77</v>
      </c>
      <c r="I23" s="125">
        <f>VLOOKUP(A23,Table_3d[],7,FALSE)</f>
        <v>64</v>
      </c>
      <c r="J23" s="126">
        <f>VLOOKUP(A23,Table_3d[],8,FALSE)</f>
        <v>64</v>
      </c>
    </row>
    <row r="24" spans="1:10" ht="15" customHeight="1">
      <c r="A24" s="88" t="s">
        <v>93</v>
      </c>
      <c r="B24" s="79" t="str">
        <f t="shared" si="0"/>
        <v>2020-21</v>
      </c>
      <c r="C24" s="79" t="s">
        <v>109</v>
      </c>
      <c r="D24" s="115">
        <v>99.62</v>
      </c>
      <c r="E24" s="115">
        <v>99.56</v>
      </c>
      <c r="F24" s="115">
        <v>99.64</v>
      </c>
      <c r="G24" s="115">
        <v>99.66</v>
      </c>
      <c r="H24" s="115">
        <v>99.46</v>
      </c>
      <c r="I24" s="115">
        <v>99.66</v>
      </c>
      <c r="J24" s="116">
        <v>99.61</v>
      </c>
    </row>
    <row r="25" spans="1:10" ht="15" customHeight="1">
      <c r="A25" s="89" t="s">
        <v>89</v>
      </c>
      <c r="B25" s="77" t="str">
        <f t="shared" si="0"/>
        <v>2021-22</v>
      </c>
      <c r="C25" s="77" t="s">
        <v>109</v>
      </c>
      <c r="D25" s="117">
        <v>99.59</v>
      </c>
      <c r="E25" s="117">
        <v>99.56</v>
      </c>
      <c r="F25" s="117">
        <v>99.66</v>
      </c>
      <c r="G25" s="117">
        <v>99.51</v>
      </c>
      <c r="H25" s="117">
        <v>99.51</v>
      </c>
      <c r="I25" s="117">
        <v>99.550000000000011</v>
      </c>
      <c r="J25" s="118">
        <v>99.62</v>
      </c>
    </row>
    <row r="26" spans="1:10" ht="15" customHeight="1" thickBot="1">
      <c r="A26" s="106" t="s">
        <v>90</v>
      </c>
      <c r="B26" s="77" t="str">
        <f>IF(ISNUMBER(SEARCH("2015",A26)),"2015-16",IF(ISNUMBER(SEARCH("2016",A26)),"2016-17",IF(ISNUMBER(SEARCH("2017",A26)),"2017-18",IF(ISNUMBER(SEARCH("2018",A26)),"2018-19",IF(ISNUMBER(SEARCH("2019",A26)),"2019-20",IF(ISNUMBER(SEARCH("2020",A26)),"2020-21",IF(ISNUMBER(SEARCH("2021",A26)),"2021-22",IF(ISNUMBER(SEARCH("2022",A26)),"2022-23",IF(ISNUMBER(SEARCH("2023",A26)),"2023-24",IF(ISNUMBER(SEARCH("2024",A26)),"2024-25",IF(ISNUMBER(SEARCH("2025",A26)),"2025-26","")))))))))))</f>
        <v>2022-23</v>
      </c>
      <c r="C26" s="77" t="s">
        <v>109</v>
      </c>
      <c r="D26" s="117">
        <v>99.65</v>
      </c>
      <c r="E26" s="117">
        <v>99.54</v>
      </c>
      <c r="F26" s="117">
        <v>99.77</v>
      </c>
      <c r="G26" s="117">
        <v>99.66</v>
      </c>
      <c r="H26" s="117">
        <v>99.59</v>
      </c>
      <c r="I26" s="117">
        <v>99.65</v>
      </c>
      <c r="J26" s="118">
        <v>99.6</v>
      </c>
    </row>
  </sheetData>
  <phoneticPr fontId="165" type="noConversion"/>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96AE8-78E8-4884-BC16-AC675BE1EDD0}">
  <sheetPr codeName="Sheet10">
    <tabColor rgb="FFFFC000"/>
  </sheetPr>
  <dimension ref="A4:T70"/>
  <sheetViews>
    <sheetView topLeftCell="A39" workbookViewId="0">
      <selection activeCell="B64" sqref="B64"/>
    </sheetView>
  </sheetViews>
  <sheetFormatPr defaultRowHeight="14.25"/>
  <cols>
    <col min="1" max="1" width="8.59765625" bestFit="1" customWidth="1"/>
    <col min="2" max="2" width="16.86328125" bestFit="1" customWidth="1"/>
    <col min="3" max="3" width="10.86328125" bestFit="1" customWidth="1"/>
    <col min="4" max="4" width="8.59765625" bestFit="1" customWidth="1"/>
    <col min="5" max="5" width="22" bestFit="1" customWidth="1"/>
    <col min="6" max="6" width="9.86328125" bestFit="1" customWidth="1"/>
    <col min="7" max="7" width="8.59765625" bestFit="1" customWidth="1"/>
    <col min="8" max="8" width="10.86328125" bestFit="1" customWidth="1"/>
    <col min="9" max="10" width="10" bestFit="1" customWidth="1"/>
    <col min="11" max="11" width="9" bestFit="1" customWidth="1"/>
    <col min="13" max="13" width="8.59765625" bestFit="1" customWidth="1"/>
    <col min="14" max="14" width="4.59765625" bestFit="1" customWidth="1"/>
    <col min="16" max="16" width="8.59765625" bestFit="1" customWidth="1"/>
    <col min="17" max="17" width="9.86328125" bestFit="1" customWidth="1"/>
    <col min="18" max="18" width="9.73046875" customWidth="1"/>
    <col min="19" max="19" width="8.59765625" bestFit="1" customWidth="1"/>
    <col min="20" max="20" width="10.86328125" bestFit="1" customWidth="1"/>
    <col min="21" max="21" width="19.3984375" bestFit="1" customWidth="1"/>
  </cols>
  <sheetData>
    <row r="4" spans="1:20" ht="31.5" customHeight="1">
      <c r="A4" s="71" t="s">
        <v>110</v>
      </c>
      <c r="B4" s="70"/>
    </row>
    <row r="5" spans="1:20" ht="15.4">
      <c r="A5" s="40" t="s">
        <v>95</v>
      </c>
      <c r="B5" t="s">
        <v>111</v>
      </c>
      <c r="D5" s="40" t="s">
        <v>95</v>
      </c>
      <c r="E5" t="s">
        <v>112</v>
      </c>
      <c r="G5" s="40" t="s">
        <v>95</v>
      </c>
      <c r="H5" t="s">
        <v>113</v>
      </c>
      <c r="J5" s="129" t="s">
        <v>95</v>
      </c>
      <c r="K5" t="s">
        <v>114</v>
      </c>
      <c r="M5" s="40" t="s">
        <v>95</v>
      </c>
      <c r="N5" t="s">
        <v>115</v>
      </c>
      <c r="P5" s="40" t="s">
        <v>95</v>
      </c>
      <c r="Q5" t="s">
        <v>116</v>
      </c>
      <c r="S5" s="40" t="s">
        <v>95</v>
      </c>
      <c r="T5" t="s">
        <v>117</v>
      </c>
    </row>
    <row r="6" spans="1:20">
      <c r="A6" s="41" t="s">
        <v>118</v>
      </c>
      <c r="B6" s="39">
        <v>99.62</v>
      </c>
      <c r="D6" s="41" t="s">
        <v>118</v>
      </c>
      <c r="E6" s="39">
        <v>99.56</v>
      </c>
      <c r="G6" s="41" t="s">
        <v>118</v>
      </c>
      <c r="H6" s="39">
        <v>99.64</v>
      </c>
      <c r="J6" s="41" t="s">
        <v>118</v>
      </c>
      <c r="K6" s="39">
        <v>99.66</v>
      </c>
      <c r="M6" s="41" t="s">
        <v>118</v>
      </c>
      <c r="N6" s="39">
        <v>99.46</v>
      </c>
      <c r="P6" s="41" t="s">
        <v>118</v>
      </c>
      <c r="Q6" s="39">
        <v>99.66</v>
      </c>
      <c r="S6" s="41" t="s">
        <v>118</v>
      </c>
      <c r="T6" s="39">
        <v>99.61</v>
      </c>
    </row>
    <row r="7" spans="1:20">
      <c r="A7" s="41" t="s">
        <v>119</v>
      </c>
      <c r="B7" s="39">
        <v>99.59</v>
      </c>
      <c r="D7" s="41" t="s">
        <v>119</v>
      </c>
      <c r="E7" s="39">
        <v>99.56</v>
      </c>
      <c r="G7" s="41" t="s">
        <v>119</v>
      </c>
      <c r="H7" s="39">
        <v>99.66</v>
      </c>
      <c r="J7" s="41" t="s">
        <v>119</v>
      </c>
      <c r="K7" s="39">
        <v>99.51</v>
      </c>
      <c r="M7" s="41" t="s">
        <v>119</v>
      </c>
      <c r="N7" s="39">
        <v>99.51</v>
      </c>
      <c r="P7" s="41" t="s">
        <v>119</v>
      </c>
      <c r="Q7" s="39">
        <v>99.550000000000011</v>
      </c>
      <c r="S7" s="41" t="s">
        <v>119</v>
      </c>
      <c r="T7" s="39">
        <v>99.62</v>
      </c>
    </row>
    <row r="8" spans="1:20">
      <c r="A8" s="41" t="s">
        <v>120</v>
      </c>
      <c r="B8" s="39">
        <v>99.65</v>
      </c>
      <c r="D8" s="41" t="s">
        <v>120</v>
      </c>
      <c r="E8" s="39">
        <v>99.54</v>
      </c>
      <c r="G8" s="41" t="s">
        <v>120</v>
      </c>
      <c r="H8" s="39">
        <v>99.77</v>
      </c>
      <c r="J8" s="41" t="s">
        <v>120</v>
      </c>
      <c r="K8" s="39">
        <v>99.66</v>
      </c>
      <c r="M8" s="41" t="s">
        <v>120</v>
      </c>
      <c r="N8" s="39">
        <v>99.59</v>
      </c>
      <c r="P8" s="41" t="s">
        <v>120</v>
      </c>
      <c r="Q8" s="39">
        <v>99.65</v>
      </c>
      <c r="S8" s="41" t="s">
        <v>120</v>
      </c>
      <c r="T8" s="39">
        <v>99.6</v>
      </c>
    </row>
    <row r="22" spans="1:1">
      <c r="A22" s="73" t="s">
        <v>121</v>
      </c>
    </row>
    <row r="23" spans="1:1">
      <c r="A23" s="72" t="str">
        <f>IF(B40="Pavement condition","Pavement condition (KPI) - The percentage of the pavement asset in good condition.",IF(B40="Structures condition","Structures condition (PI) - Average condition score/critical condition score - % of structures rated 'good' in opinion of inspector.",IF(B40="Technology availability","Technology availability (PI) -  The percentage of time that roadside technology assets are available and functioning.",IF(B40="Drainage resilience","Drainage resilience (PI) -  The percentage length of carriageway that does not have an observed significant susceptibility to flooding.",IF(B40="Geotechnical condition","Geotechnical condition (PI) -  The percentage length of the National Highways' geotechnical asset that is in good condition based on the ability of the asset to perform its function at the time of inspection.")))))</f>
        <v>Geotechnical condition (PI) -  The percentage length of the National Highways' geotechnical asset that is in good condition based on the ability of the asset to perform its function at the time of inspection.</v>
      </c>
    </row>
    <row r="24" spans="1:1">
      <c r="A24" s="72" t="str">
        <f>IF(B40="Pavement condition","National-level target: Percentage of the network (as defined by HAPMS, excluding DBFOs) in good condition at 96.2% or above at the end of each year."," ")</f>
        <v xml:space="preserve"> </v>
      </c>
    </row>
    <row r="25" spans="1:1">
      <c r="A25" s="72" t="str">
        <f>IF(B40="Pavement condition","Measure: Percentage.",IF(B40="Structures condition","Measure: Percentage.",IF(B40="Technology availability","Measure: Percentage.",IF(B40="Drainage resilience","Measure: Percentage.",IF(B40="Geotechnical condition","Measure: Percentage.")))))</f>
        <v>Measure: Percentage.</v>
      </c>
    </row>
    <row r="26" spans="1:1">
      <c r="A26" s="72" t="str">
        <f>IF(B40="Pavement condition","percentage points",IF(B40="Structures condition","percentage points",IF(B40="Technology availability","percentage points",IF(B40="Drainage resilience","percentage points",IF(B40="Geotechnical condition","percentage points")))))</f>
        <v>percentage points</v>
      </c>
    </row>
    <row r="40" spans="1:8">
      <c r="A40" s="40" t="s">
        <v>97</v>
      </c>
      <c r="B40" t="s">
        <v>109</v>
      </c>
    </row>
    <row r="41" spans="1:8">
      <c r="B41" s="130" t="s">
        <v>112</v>
      </c>
      <c r="C41" s="130" t="s">
        <v>113</v>
      </c>
      <c r="D41" s="130" t="s">
        <v>114</v>
      </c>
      <c r="E41" s="130" t="s">
        <v>115</v>
      </c>
      <c r="F41" s="130" t="s">
        <v>116</v>
      </c>
      <c r="G41" s="130" t="s">
        <v>117</v>
      </c>
      <c r="H41" s="130" t="s">
        <v>111</v>
      </c>
    </row>
    <row r="42" spans="1:8">
      <c r="A42" s="40" t="s">
        <v>122</v>
      </c>
      <c r="B42" t="s">
        <v>112</v>
      </c>
      <c r="C42" t="s">
        <v>113</v>
      </c>
      <c r="D42" t="s">
        <v>114</v>
      </c>
      <c r="E42" t="s">
        <v>115</v>
      </c>
      <c r="F42" t="s">
        <v>116</v>
      </c>
      <c r="G42" t="s">
        <v>117</v>
      </c>
      <c r="H42" t="s">
        <v>111</v>
      </c>
    </row>
    <row r="43" spans="1:8">
      <c r="A43" s="41" t="s">
        <v>118</v>
      </c>
      <c r="B43" s="39">
        <v>99.56</v>
      </c>
      <c r="C43" s="39">
        <v>99.64</v>
      </c>
      <c r="D43" s="39">
        <v>99.66</v>
      </c>
      <c r="E43" s="39">
        <v>99.46</v>
      </c>
      <c r="F43" s="39">
        <v>99.66</v>
      </c>
      <c r="G43" s="39">
        <v>99.61</v>
      </c>
      <c r="H43" s="39">
        <v>99.62</v>
      </c>
    </row>
    <row r="44" spans="1:8">
      <c r="A44" s="41" t="s">
        <v>119</v>
      </c>
      <c r="B44" s="39">
        <v>99.56</v>
      </c>
      <c r="C44" s="39">
        <v>99.66</v>
      </c>
      <c r="D44" s="39">
        <v>99.51</v>
      </c>
      <c r="E44" s="39">
        <v>99.51</v>
      </c>
      <c r="F44" s="39">
        <v>99.550000000000011</v>
      </c>
      <c r="G44" s="39">
        <v>99.62</v>
      </c>
      <c r="H44" s="39">
        <v>99.59</v>
      </c>
    </row>
    <row r="45" spans="1:8">
      <c r="A45" s="41" t="s">
        <v>120</v>
      </c>
      <c r="B45" s="39">
        <v>99.54</v>
      </c>
      <c r="C45" s="39">
        <v>99.77</v>
      </c>
      <c r="D45" s="39">
        <v>99.66</v>
      </c>
      <c r="E45" s="39">
        <v>99.59</v>
      </c>
      <c r="F45" s="39">
        <v>99.65</v>
      </c>
      <c r="G45" s="39">
        <v>99.6</v>
      </c>
      <c r="H45" s="39">
        <v>99.65</v>
      </c>
    </row>
    <row r="56" spans="1:13">
      <c r="M56" s="131"/>
    </row>
    <row r="57" spans="1:13" ht="14.65" thickBot="1"/>
    <row r="58" spans="1:13" ht="14.65" thickBot="1">
      <c r="A58" s="42" t="str">
        <f>INDEX(A43:A57,MATCH("*",A43:A57,-1))</f>
        <v>2022-23</v>
      </c>
      <c r="B58" s="94">
        <f>VLOOKUP(A58,$A$43:$H$57,2)</f>
        <v>99.54</v>
      </c>
      <c r="C58" s="94">
        <f>VLOOKUP(A58,$A$43:$H$57,3)</f>
        <v>99.77</v>
      </c>
      <c r="D58" s="94">
        <f>VLOOKUP(A58,$A$43:$H$57,4)</f>
        <v>99.66</v>
      </c>
      <c r="E58" s="94">
        <f>VLOOKUP(A58,$A$43:$H$57,5)</f>
        <v>99.59</v>
      </c>
      <c r="F58" s="94">
        <f>VLOOKUP(A58,$A$43:$H$57,6)</f>
        <v>99.65</v>
      </c>
      <c r="G58" s="94">
        <f>VLOOKUP(A58,$A$43:$H$57,7)</f>
        <v>99.6</v>
      </c>
      <c r="H58" s="94">
        <f>VLOOKUP(A58,$A$43:$H$57,8)</f>
        <v>99.65</v>
      </c>
      <c r="I58" s="43" t="s">
        <v>123</v>
      </c>
    </row>
    <row r="61" spans="1:13">
      <c r="A61" t="s">
        <v>124</v>
      </c>
      <c r="B61" s="39">
        <f>IFERROR(IF(MAX(B58:G58)=0,"",MAX(B58:G58)),"")</f>
        <v>99.77</v>
      </c>
      <c r="E61" s="44">
        <f>(B61-$H$58)</f>
        <v>0.11999999999999034</v>
      </c>
      <c r="F61" t="str">
        <f>IF(E61&gt;=0," performed better by"," performed worse by")</f>
        <v xml:space="preserve"> performed better by</v>
      </c>
      <c r="H61" t="s">
        <v>125</v>
      </c>
      <c r="I61" s="44">
        <f>ABS(E61)</f>
        <v>0.11999999999999034</v>
      </c>
      <c r="K61" t="str">
        <f>TEXT(I61,"0.0")&amp;" "&amp;A26</f>
        <v>0.1 percentage points</v>
      </c>
    </row>
    <row r="62" spans="1:13">
      <c r="A62" t="s">
        <v>126</v>
      </c>
      <c r="B62" s="39">
        <f>IFERROR(IF(MIN(B58:G58)=0,"",MIN(B58:G58)),"")</f>
        <v>99.54</v>
      </c>
      <c r="E62" s="44">
        <f>(B62-$H$58)</f>
        <v>-0.10999999999999943</v>
      </c>
      <c r="F62" t="str">
        <f>IF(E62&gt;=0," performed better by","performed worse by")</f>
        <v>performed worse by</v>
      </c>
      <c r="H62" s="45" t="s">
        <v>125</v>
      </c>
      <c r="I62" s="44">
        <f>ABS(E62)</f>
        <v>0.10999999999999943</v>
      </c>
      <c r="K62" t="str">
        <f>TEXT(I62,"0.0")&amp;" "&amp;A26</f>
        <v>0.1 percentage points</v>
      </c>
    </row>
    <row r="64" spans="1:13">
      <c r="A64" t="s">
        <v>124</v>
      </c>
      <c r="B64" t="str">
        <f>IFERROR(INDEX(B41:H41,MATCH(B61,B58:G58,0)),"")</f>
        <v xml:space="preserve"> North West</v>
      </c>
      <c r="D64" t="str">
        <f>IFERROR(INDEX(B41:H41,MATCH(B61,B58:G58,0)),"")</f>
        <v xml:space="preserve"> North West</v>
      </c>
    </row>
    <row r="65" spans="1:4">
      <c r="A65" t="s">
        <v>126</v>
      </c>
      <c r="B65" t="str">
        <f>IFERROR(INDEX(B42:H42,MATCH(B62,B58:G58,0)),"")</f>
        <v xml:space="preserve"> Yorkshire and North East</v>
      </c>
      <c r="D65" t="str">
        <f>IFERROR(INDEX(B42:H42,MATCH(B62,B58:G58,0)),"")</f>
        <v xml:space="preserve"> Yorkshire and North East</v>
      </c>
    </row>
    <row r="67" spans="1:4">
      <c r="A67" t="s">
        <v>127</v>
      </c>
      <c r="B67" t="str">
        <f>IFERROR(IF(B40="Average delay",B65,IF(B40="Delay on smart motorways",B65,IF(B40="Delay from roadworks",B65,IF(B40="Delay on gateway routes",B65,B64)))),"")</f>
        <v xml:space="preserve"> North West</v>
      </c>
    </row>
    <row r="68" spans="1:4">
      <c r="A68" t="s">
        <v>128</v>
      </c>
      <c r="B68" t="str">
        <f>IFERROR(IF(B40="Average delay",B64,IF(B40="Delay on smart motorways",B64,IF(B40="Delay from roadworks",B64,IF(B40="Delay on gateway routes",B64,B65)))),"")</f>
        <v xml:space="preserve"> Yorkshire and North East</v>
      </c>
    </row>
    <row r="70" spans="1:4">
      <c r="A70" s="45" t="str">
        <f>IFERROR("Compared to National Highways,"&amp;" "&amp;"the"&amp;B67&amp;""&amp;""&amp;F61&amp;" "&amp;TEXT(K61,"0.0%"&amp;" ")&amp;" while"&amp;" the"&amp;B68&amp;""&amp;" "&amp;F62&amp;" "&amp;TEXT(K62,"0.0%")&amp;".","Note: data only available at a national level")</f>
        <v>Compared to National Highways, the North West performed better by 0.1 percentage points while the Yorkshire and North East performed worse by 0.1 percentage points.</v>
      </c>
    </row>
  </sheetData>
  <conditionalFormatting pivot="1" sqref="B6:B8">
    <cfRule type="expression" dxfId="13" priority="3">
      <formula>$B$40="Geotechnical condition"</formula>
    </cfRule>
  </conditionalFormatting>
  <conditionalFormatting pivot="1" sqref="B6:B8">
    <cfRule type="expression" dxfId="12" priority="1">
      <formula>$B$40="Technology availability"</formula>
    </cfRule>
  </conditionalFormatting>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9"/>
  <sheetViews>
    <sheetView zoomScaleNormal="100" workbookViewId="0"/>
  </sheetViews>
  <sheetFormatPr defaultRowHeight="14.25"/>
  <cols>
    <col min="1" max="1" width="16.265625" customWidth="1"/>
    <col min="2" max="2" width="100.73046875" customWidth="1"/>
    <col min="3" max="3" width="9" customWidth="1"/>
  </cols>
  <sheetData>
    <row r="1" spans="1:2" ht="23.25">
      <c r="A1" s="4" t="s">
        <v>31</v>
      </c>
      <c r="B1" s="13"/>
    </row>
    <row r="2" spans="1:2" ht="15.75">
      <c r="A2" s="3" t="s">
        <v>32</v>
      </c>
      <c r="B2" s="5"/>
    </row>
    <row r="3" spans="1:2" ht="15.75">
      <c r="A3" s="6" t="s">
        <v>33</v>
      </c>
      <c r="B3" s="7" t="s">
        <v>34</v>
      </c>
    </row>
    <row r="4" spans="1:2" ht="31.5">
      <c r="A4" s="20" t="s">
        <v>35</v>
      </c>
      <c r="B4" s="2" t="s">
        <v>36</v>
      </c>
    </row>
    <row r="5" spans="1:2" ht="15.75">
      <c r="A5" s="20" t="s">
        <v>37</v>
      </c>
      <c r="B5" s="2" t="s">
        <v>38</v>
      </c>
    </row>
    <row r="6" spans="1:2" ht="15.75">
      <c r="A6" s="20" t="s">
        <v>39</v>
      </c>
      <c r="B6" s="2" t="s">
        <v>40</v>
      </c>
    </row>
    <row r="7" spans="1:2" ht="63">
      <c r="A7" s="20" t="s">
        <v>41</v>
      </c>
      <c r="B7" s="2" t="s">
        <v>42</v>
      </c>
    </row>
    <row r="8" spans="1:2" ht="31.5">
      <c r="A8" s="20" t="s">
        <v>43</v>
      </c>
      <c r="B8" s="2" t="s">
        <v>44</v>
      </c>
    </row>
    <row r="9" spans="1:2" ht="15.75">
      <c r="A9" s="20"/>
      <c r="B9" s="2"/>
    </row>
  </sheetData>
  <phoneticPr fontId="165" type="noConversion"/>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9"/>
  <sheetViews>
    <sheetView zoomScaleNormal="100" workbookViewId="0"/>
  </sheetViews>
  <sheetFormatPr defaultRowHeight="14.25"/>
  <cols>
    <col min="1" max="1" width="34" bestFit="1" customWidth="1"/>
    <col min="2" max="2" width="104" customWidth="1"/>
  </cols>
  <sheetData>
    <row r="1" spans="1:2" ht="23.25">
      <c r="A1" s="14" t="s">
        <v>45</v>
      </c>
      <c r="B1" s="2"/>
    </row>
    <row r="2" spans="1:2" ht="15.75">
      <c r="A2" s="21" t="s">
        <v>46</v>
      </c>
      <c r="B2" s="2"/>
    </row>
    <row r="3" spans="1:2" ht="15.75">
      <c r="A3" s="15" t="s">
        <v>47</v>
      </c>
      <c r="B3" s="16" t="s">
        <v>48</v>
      </c>
    </row>
    <row r="4" spans="1:2" ht="15.75">
      <c r="A4" s="90" t="s">
        <v>49</v>
      </c>
      <c r="B4" s="95" t="s">
        <v>50</v>
      </c>
    </row>
    <row r="5" spans="1:2" ht="47.25">
      <c r="A5" s="33" t="s">
        <v>51</v>
      </c>
      <c r="B5" s="22" t="s">
        <v>52</v>
      </c>
    </row>
    <row r="6" spans="1:2" ht="31.5">
      <c r="A6" s="33" t="s">
        <v>53</v>
      </c>
      <c r="B6" s="22" t="s">
        <v>54</v>
      </c>
    </row>
    <row r="7" spans="1:2" ht="15.75">
      <c r="A7" s="33" t="s">
        <v>55</v>
      </c>
      <c r="B7" s="22" t="s">
        <v>56</v>
      </c>
    </row>
    <row r="8" spans="1:2" ht="31.5">
      <c r="A8" s="33" t="s">
        <v>57</v>
      </c>
      <c r="B8" s="22" t="s">
        <v>58</v>
      </c>
    </row>
    <row r="9" spans="1:2" ht="31.5">
      <c r="A9" s="33" t="s">
        <v>59</v>
      </c>
      <c r="B9" s="22" t="s">
        <v>60</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FD604-AE6C-4DBA-A6E5-3C46C41FE596}">
  <sheetPr codeName="Sheet17">
    <tabColor rgb="FF7030A0"/>
    <pageSetUpPr autoPageBreaks="0"/>
  </sheetPr>
  <dimension ref="A1:AA86"/>
  <sheetViews>
    <sheetView tabSelected="1" zoomScale="80" zoomScaleNormal="80" workbookViewId="0"/>
  </sheetViews>
  <sheetFormatPr defaultColWidth="0" defaultRowHeight="15" customHeight="1" zeroHeight="1"/>
  <cols>
    <col min="1" max="1" width="5" style="46" customWidth="1"/>
    <col min="2" max="5" width="8.73046875" style="46" customWidth="1"/>
    <col min="6" max="6" width="6.86328125" style="46" customWidth="1"/>
    <col min="7" max="7" width="11.59765625" style="46" customWidth="1"/>
    <col min="8" max="11" width="8.73046875" style="46" customWidth="1"/>
    <col min="12" max="12" width="17.86328125" style="46" customWidth="1"/>
    <col min="13" max="13" width="10.1328125" style="46" customWidth="1"/>
    <col min="14" max="14" width="5" style="46" customWidth="1"/>
    <col min="15" max="15" width="4.1328125" style="46" customWidth="1"/>
    <col min="16" max="21" width="8.73046875" style="46" customWidth="1"/>
    <col min="22" max="22" width="8.3984375" style="46" customWidth="1"/>
    <col min="23" max="23" width="8.73046875" style="46" customWidth="1"/>
    <col min="24" max="24" width="1" style="46" hidden="1" customWidth="1"/>
    <col min="25" max="27" width="0" style="46" hidden="1" customWidth="1"/>
    <col min="28" max="16384" width="8.73046875" style="46" hidden="1"/>
  </cols>
  <sheetData>
    <row r="1" spans="2:27" ht="14.25"/>
    <row r="2" spans="2:27" ht="43.15">
      <c r="B2" s="69" t="s">
        <v>61</v>
      </c>
      <c r="C2" s="68"/>
    </row>
    <row r="3" spans="2:27" ht="43.15">
      <c r="B3" s="69" t="s">
        <v>62</v>
      </c>
      <c r="C3" s="68"/>
      <c r="D3" s="68"/>
      <c r="E3" s="68"/>
      <c r="F3" s="68"/>
      <c r="G3" s="68"/>
    </row>
    <row r="4" spans="2:27" ht="24.75" customHeight="1">
      <c r="B4" s="67" t="s">
        <v>63</v>
      </c>
      <c r="C4" s="66"/>
    </row>
    <row r="5" spans="2:27" ht="10.5" customHeight="1">
      <c r="B5" s="67"/>
      <c r="C5" s="66"/>
    </row>
    <row r="6" spans="2:27" s="127" customFormat="1" ht="29.25" customHeight="1">
      <c r="B6" s="134" t="s">
        <v>64</v>
      </c>
      <c r="C6" s="134"/>
      <c r="D6" s="134"/>
      <c r="E6" s="134"/>
      <c r="F6" s="134"/>
      <c r="G6" s="134"/>
      <c r="H6" s="134"/>
      <c r="I6" s="134"/>
      <c r="J6" s="134"/>
      <c r="K6" s="134"/>
      <c r="L6" s="134"/>
      <c r="M6" s="134"/>
      <c r="N6" s="134"/>
      <c r="O6" s="134"/>
      <c r="P6" s="134"/>
      <c r="Q6" s="134"/>
      <c r="R6" s="134"/>
      <c r="S6" s="134"/>
      <c r="T6" s="134"/>
      <c r="U6" s="134"/>
      <c r="V6" s="134"/>
      <c r="W6" s="128"/>
      <c r="X6" s="128"/>
      <c r="Y6" s="128"/>
      <c r="Z6" s="128"/>
      <c r="AA6" s="128"/>
    </row>
    <row r="7" spans="2:27" s="127" customFormat="1" ht="12" customHeight="1">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2:27" ht="15" customHeight="1">
      <c r="B8" s="63" t="s">
        <v>65</v>
      </c>
      <c r="C8" s="65"/>
      <c r="N8" s="64"/>
      <c r="P8" s="63" t="s">
        <v>66</v>
      </c>
      <c r="R8" s="62"/>
    </row>
    <row r="9" spans="2:27" ht="15" customHeight="1">
      <c r="W9" s="61"/>
    </row>
    <row r="10" spans="2:27" ht="15" customHeight="1">
      <c r="G10" s="58" t="str">
        <f>IFERROR("Best performing region ("&amp;workings!A58&amp;")","")</f>
        <v>Best performing region (2022-23)</v>
      </c>
      <c r="H10" s="57"/>
      <c r="I10" s="57"/>
      <c r="J10" s="57"/>
      <c r="K10" s="56"/>
      <c r="L10" s="60" t="str">
        <f>workings!B67</f>
        <v xml:space="preserve"> North West</v>
      </c>
      <c r="M10" s="57"/>
    </row>
    <row r="11" spans="2:27" ht="15" customHeight="1">
      <c r="G11" s="58"/>
      <c r="H11" s="57"/>
      <c r="I11" s="57"/>
      <c r="J11" s="57"/>
      <c r="K11" s="57"/>
      <c r="L11" s="59"/>
      <c r="M11" s="57"/>
    </row>
    <row r="12" spans="2:27" ht="15" customHeight="1">
      <c r="G12" s="58" t="str">
        <f>IFERROR("Worst performing region ("&amp;workings!A58&amp;")","")</f>
        <v>Worst performing region (2022-23)</v>
      </c>
      <c r="H12" s="57"/>
      <c r="I12" s="57"/>
      <c r="J12" s="57"/>
      <c r="K12" s="56"/>
      <c r="L12" s="55" t="str">
        <f>workings!B68</f>
        <v xml:space="preserve"> Yorkshire and North East</v>
      </c>
    </row>
    <row r="13" spans="2:27" ht="15" customHeight="1">
      <c r="G13" s="133" t="str">
        <f>workings!A70</f>
        <v>Compared to National Highways, the North West performed better by 0.1 percentage points while the Yorkshire and North East performed worse by 0.1 percentage points.</v>
      </c>
      <c r="H13" s="133"/>
      <c r="I13" s="133"/>
      <c r="J13" s="133"/>
      <c r="K13" s="133"/>
      <c r="L13" s="133"/>
      <c r="M13" s="133"/>
      <c r="N13" s="133"/>
    </row>
    <row r="14" spans="2:27" ht="15" customHeight="1">
      <c r="G14" s="133"/>
      <c r="H14" s="133"/>
      <c r="I14" s="133"/>
      <c r="J14" s="133"/>
      <c r="K14" s="133"/>
      <c r="L14" s="133"/>
      <c r="M14" s="133"/>
      <c r="N14" s="133"/>
      <c r="X14" s="54"/>
    </row>
    <row r="15" spans="2:27" ht="15" customHeight="1">
      <c r="G15" s="133"/>
      <c r="H15" s="133"/>
      <c r="I15" s="133"/>
      <c r="J15" s="133"/>
      <c r="K15" s="133"/>
      <c r="L15" s="133"/>
      <c r="M15" s="133"/>
      <c r="N15" s="133"/>
    </row>
    <row r="16" spans="2:27" ht="15" customHeight="1"/>
    <row r="17" spans="7:22" ht="15" customHeight="1">
      <c r="G17" s="132" t="str">
        <f>workings!A23</f>
        <v>Geotechnical condition (PI) -  The percentage length of the National Highways' geotechnical asset that is in good condition based on the ability of the asset to perform its function at the time of inspection.</v>
      </c>
      <c r="H17" s="132"/>
      <c r="I17" s="132"/>
      <c r="J17" s="132"/>
      <c r="K17" s="132"/>
      <c r="L17" s="132"/>
      <c r="M17" s="132"/>
      <c r="N17" s="132"/>
      <c r="O17" s="132"/>
      <c r="P17" s="132"/>
      <c r="Q17" s="132"/>
      <c r="R17" s="132"/>
      <c r="S17" s="132"/>
      <c r="T17" s="132"/>
      <c r="U17" s="132"/>
      <c r="V17" s="132"/>
    </row>
    <row r="18" spans="7:22" ht="15" customHeight="1">
      <c r="G18" s="53" t="str">
        <f>workings!A24</f>
        <v xml:space="preserve"> </v>
      </c>
      <c r="H18" s="52"/>
      <c r="I18" s="52"/>
      <c r="J18" s="52"/>
      <c r="K18" s="52"/>
      <c r="L18" s="52"/>
      <c r="M18" s="52"/>
      <c r="N18" s="52"/>
      <c r="O18" s="52"/>
      <c r="P18" s="52"/>
      <c r="Q18" s="52"/>
      <c r="R18" s="52"/>
      <c r="S18" s="52"/>
      <c r="T18" s="52"/>
      <c r="U18" s="52"/>
    </row>
    <row r="19" spans="7:22" ht="15" customHeight="1">
      <c r="G19" s="51" t="str">
        <f>workings!A25</f>
        <v>Measure: Percentage.</v>
      </c>
      <c r="H19" s="50"/>
      <c r="I19" s="49"/>
      <c r="J19" s="49"/>
      <c r="K19" s="49"/>
      <c r="L19" s="49"/>
      <c r="M19" s="49"/>
      <c r="N19" s="49"/>
      <c r="O19" s="48"/>
      <c r="P19" s="48"/>
      <c r="Q19" s="48"/>
      <c r="R19" s="48"/>
      <c r="S19" s="48"/>
      <c r="T19" s="48"/>
      <c r="U19" s="48"/>
      <c r="V19" s="47"/>
    </row>
    <row r="20" spans="7:22" ht="15" customHeight="1"/>
    <row r="21" spans="7:22" ht="15" customHeight="1"/>
    <row r="22" spans="7:22" ht="15" customHeight="1"/>
    <row r="23" spans="7:22" ht="15" customHeight="1"/>
    <row r="24" spans="7:22" ht="15" customHeight="1"/>
    <row r="25" spans="7:22" ht="15" customHeight="1"/>
    <row r="26" spans="7:22" ht="15" customHeight="1"/>
    <row r="27" spans="7:22" ht="15" customHeight="1"/>
    <row r="28" spans="7:22" ht="15" customHeight="1"/>
    <row r="29" spans="7:22" ht="15" customHeight="1"/>
    <row r="30" spans="7:22" ht="15" customHeight="1"/>
    <row r="31" spans="7:22" ht="15" customHeight="1"/>
    <row r="32" spans="7:2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sheetData>
  <sheetProtection selectLockedCells="1" pivotTables="0"/>
  <mergeCells count="3">
    <mergeCell ref="G17:V17"/>
    <mergeCell ref="G13:N15"/>
    <mergeCell ref="B6:V6"/>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H13"/>
  <sheetViews>
    <sheetView zoomScaleNormal="100" workbookViewId="0"/>
  </sheetViews>
  <sheetFormatPr defaultColWidth="9" defaultRowHeight="14.25"/>
  <cols>
    <col min="1" max="1" width="50.59765625" customWidth="1"/>
    <col min="2" max="8" width="20.59765625" style="12" customWidth="1"/>
  </cols>
  <sheetData>
    <row r="1" spans="1:8" ht="30" customHeight="1">
      <c r="A1" s="104" t="s">
        <v>67</v>
      </c>
    </row>
    <row r="2" spans="1:8" s="41" customFormat="1" ht="20.100000000000001" customHeight="1">
      <c r="A2" s="20" t="s">
        <v>46</v>
      </c>
    </row>
    <row r="3" spans="1:8" s="41" customFormat="1" ht="20.100000000000001" customHeight="1">
      <c r="A3" s="103" t="s">
        <v>68</v>
      </c>
      <c r="B3" s="91"/>
      <c r="C3" s="91"/>
      <c r="D3" s="91"/>
      <c r="E3" s="92"/>
      <c r="F3" s="92"/>
      <c r="G3" s="92"/>
    </row>
    <row r="4" spans="1:8" s="41" customFormat="1" ht="20.100000000000001" customHeight="1">
      <c r="A4" s="93" t="s">
        <v>69</v>
      </c>
      <c r="C4" s="20"/>
      <c r="E4" s="20"/>
      <c r="G4" s="20"/>
    </row>
    <row r="5" spans="1:8" s="11" customFormat="1" ht="47.25" customHeight="1">
      <c r="A5" s="10" t="s">
        <v>70</v>
      </c>
      <c r="B5" s="27" t="s">
        <v>71</v>
      </c>
      <c r="C5" s="18" t="s">
        <v>72</v>
      </c>
      <c r="D5" s="18" t="s">
        <v>73</v>
      </c>
      <c r="E5" s="18" t="s">
        <v>74</v>
      </c>
      <c r="F5" s="18" t="s">
        <v>75</v>
      </c>
      <c r="G5" s="18" t="s">
        <v>76</v>
      </c>
      <c r="H5" s="18" t="s">
        <v>77</v>
      </c>
    </row>
    <row r="6" spans="1:8" s="11" customFormat="1" ht="20.25" customHeight="1">
      <c r="A6" s="35" t="s">
        <v>78</v>
      </c>
      <c r="B6" s="96">
        <v>92.300000000000011</v>
      </c>
      <c r="C6" s="97">
        <v>93.179999999999993</v>
      </c>
      <c r="D6" s="97">
        <v>95.04</v>
      </c>
      <c r="E6" s="97">
        <v>89.56</v>
      </c>
      <c r="F6" s="97">
        <v>90.539999999999992</v>
      </c>
      <c r="G6" s="97">
        <v>93.67</v>
      </c>
      <c r="H6" s="97">
        <v>93.47</v>
      </c>
    </row>
    <row r="7" spans="1:8" s="11" customFormat="1" ht="20.25" customHeight="1">
      <c r="A7" s="35" t="s">
        <v>79</v>
      </c>
      <c r="B7" s="96">
        <v>94.3</v>
      </c>
      <c r="C7" s="97">
        <v>95.199999999999989</v>
      </c>
      <c r="D7" s="97">
        <v>97.1</v>
      </c>
      <c r="E7" s="97">
        <v>91.5</v>
      </c>
      <c r="F7" s="97">
        <v>92.5</v>
      </c>
      <c r="G7" s="97">
        <v>95.7</v>
      </c>
      <c r="H7" s="97">
        <v>95.5</v>
      </c>
    </row>
    <row r="8" spans="1:8" s="11" customFormat="1" ht="20.25" customHeight="1">
      <c r="A8" s="35" t="s">
        <v>80</v>
      </c>
      <c r="B8" s="96">
        <v>95.199999999999989</v>
      </c>
      <c r="C8" s="97">
        <v>95.3</v>
      </c>
      <c r="D8" s="97">
        <v>97.399999999999991</v>
      </c>
      <c r="E8" s="97">
        <v>93.5</v>
      </c>
      <c r="F8" s="97">
        <v>92.600000000000009</v>
      </c>
      <c r="G8" s="97">
        <v>96.7</v>
      </c>
      <c r="H8" s="97">
        <v>96.7</v>
      </c>
    </row>
    <row r="9" spans="1:8" s="11" customFormat="1" ht="20.25" customHeight="1">
      <c r="A9" s="35" t="s">
        <v>81</v>
      </c>
      <c r="B9" s="96">
        <v>95.5</v>
      </c>
      <c r="C9" s="97">
        <v>96.8</v>
      </c>
      <c r="D9" s="97">
        <v>97.2</v>
      </c>
      <c r="E9" s="97">
        <v>93.5</v>
      </c>
      <c r="F9" s="97">
        <v>94</v>
      </c>
      <c r="G9" s="97">
        <v>96.6</v>
      </c>
      <c r="H9" s="97">
        <v>96.1</v>
      </c>
    </row>
    <row r="10" spans="1:8" s="11" customFormat="1" ht="20.25" customHeight="1" thickBot="1">
      <c r="A10" s="36" t="s">
        <v>82</v>
      </c>
      <c r="B10" s="98">
        <v>95.4</v>
      </c>
      <c r="C10" s="99">
        <v>96.899999999999991</v>
      </c>
      <c r="D10" s="99">
        <v>96.7</v>
      </c>
      <c r="E10" s="99">
        <v>93.7</v>
      </c>
      <c r="F10" s="99">
        <v>94.3</v>
      </c>
      <c r="G10" s="99">
        <v>96.5</v>
      </c>
      <c r="H10" s="97">
        <v>95.3</v>
      </c>
    </row>
    <row r="11" spans="1:8" ht="20.25" customHeight="1" thickTop="1">
      <c r="A11" s="35" t="s">
        <v>83</v>
      </c>
      <c r="B11" s="100">
        <v>95.199999999999989</v>
      </c>
      <c r="C11" s="97">
        <v>95.6</v>
      </c>
      <c r="D11" s="97">
        <v>97.2</v>
      </c>
      <c r="E11" s="97">
        <v>94.399999999999991</v>
      </c>
      <c r="F11" s="97">
        <v>92.100000000000009</v>
      </c>
      <c r="G11" s="97">
        <v>96.6</v>
      </c>
      <c r="H11" s="101">
        <v>96</v>
      </c>
    </row>
    <row r="12" spans="1:8" ht="20.25" customHeight="1">
      <c r="A12" s="35" t="s">
        <v>84</v>
      </c>
      <c r="B12" s="100">
        <v>95.5</v>
      </c>
      <c r="C12" s="97">
        <v>96</v>
      </c>
      <c r="D12" s="97">
        <v>96.4</v>
      </c>
      <c r="E12" s="97">
        <v>94.3</v>
      </c>
      <c r="F12" s="97">
        <v>93.2</v>
      </c>
      <c r="G12" s="97">
        <v>96.4</v>
      </c>
      <c r="H12" s="97">
        <v>97.3</v>
      </c>
    </row>
    <row r="13" spans="1:8" ht="20.25" customHeight="1">
      <c r="A13" s="10" t="s">
        <v>85</v>
      </c>
      <c r="B13" s="100">
        <v>96.2</v>
      </c>
      <c r="C13" s="97">
        <v>96.99</v>
      </c>
      <c r="D13" s="97">
        <v>96.84</v>
      </c>
      <c r="E13" s="97">
        <v>95.61</v>
      </c>
      <c r="F13" s="97">
        <v>93.61</v>
      </c>
      <c r="G13" s="97">
        <v>96.79</v>
      </c>
      <c r="H13" s="97">
        <v>97.64</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H12"/>
  <sheetViews>
    <sheetView zoomScaleNormal="100" workbookViewId="0"/>
  </sheetViews>
  <sheetFormatPr defaultColWidth="9" defaultRowHeight="14.25"/>
  <cols>
    <col min="1" max="1" width="50.59765625" customWidth="1"/>
    <col min="2" max="2" width="20.59765625" style="12" customWidth="1"/>
    <col min="3" max="8" width="18.59765625" style="12" customWidth="1"/>
  </cols>
  <sheetData>
    <row r="1" spans="1:8" ht="30" customHeight="1">
      <c r="A1" s="8" t="s">
        <v>86</v>
      </c>
    </row>
    <row r="2" spans="1:8" ht="20.100000000000001" customHeight="1">
      <c r="A2" s="9" t="s">
        <v>46</v>
      </c>
    </row>
    <row r="3" spans="1:8" s="91" customFormat="1" ht="20.100000000000001" customHeight="1">
      <c r="A3" s="103" t="s">
        <v>68</v>
      </c>
    </row>
    <row r="4" spans="1:8" s="11" customFormat="1" ht="50.25" customHeight="1">
      <c r="A4" s="10" t="s">
        <v>70</v>
      </c>
      <c r="B4" s="27" t="s">
        <v>71</v>
      </c>
      <c r="C4" s="18" t="s">
        <v>72</v>
      </c>
      <c r="D4" s="18" t="s">
        <v>73</v>
      </c>
      <c r="E4" s="18" t="s">
        <v>74</v>
      </c>
      <c r="F4" s="18" t="s">
        <v>75</v>
      </c>
      <c r="G4" s="18" t="s">
        <v>76</v>
      </c>
      <c r="H4" s="18" t="s">
        <v>77</v>
      </c>
    </row>
    <row r="5" spans="1:8" s="11" customFormat="1" ht="20.100000000000001" customHeight="1">
      <c r="A5" s="35" t="s">
        <v>78</v>
      </c>
      <c r="B5" s="96">
        <v>79.100000000000009</v>
      </c>
      <c r="C5" s="97" t="s">
        <v>87</v>
      </c>
      <c r="D5" s="97" t="s">
        <v>87</v>
      </c>
      <c r="E5" s="97" t="s">
        <v>87</v>
      </c>
      <c r="F5" s="97" t="s">
        <v>87</v>
      </c>
      <c r="G5" s="97" t="s">
        <v>87</v>
      </c>
      <c r="H5" s="97" t="s">
        <v>87</v>
      </c>
    </row>
    <row r="6" spans="1:8" s="11" customFormat="1" ht="20.100000000000001" customHeight="1">
      <c r="A6" s="35" t="s">
        <v>79</v>
      </c>
      <c r="B6" s="96">
        <v>79.2</v>
      </c>
      <c r="C6" s="97" t="s">
        <v>87</v>
      </c>
      <c r="D6" s="97" t="s">
        <v>87</v>
      </c>
      <c r="E6" s="97" t="s">
        <v>87</v>
      </c>
      <c r="F6" s="97" t="s">
        <v>87</v>
      </c>
      <c r="G6" s="97" t="s">
        <v>87</v>
      </c>
      <c r="H6" s="97" t="s">
        <v>87</v>
      </c>
    </row>
    <row r="7" spans="1:8" s="11" customFormat="1" ht="20.100000000000001" customHeight="1">
      <c r="A7" s="35" t="s">
        <v>80</v>
      </c>
      <c r="B7" s="96">
        <v>79.800000000000011</v>
      </c>
      <c r="C7" s="97" t="s">
        <v>87</v>
      </c>
      <c r="D7" s="97" t="s">
        <v>87</v>
      </c>
      <c r="E7" s="97" t="s">
        <v>87</v>
      </c>
      <c r="F7" s="97" t="s">
        <v>87</v>
      </c>
      <c r="G7" s="97" t="s">
        <v>87</v>
      </c>
      <c r="H7" s="97" t="s">
        <v>87</v>
      </c>
    </row>
    <row r="8" spans="1:8" s="11" customFormat="1" ht="20.100000000000001" customHeight="1">
      <c r="A8" s="35" t="s">
        <v>81</v>
      </c>
      <c r="B8" s="96">
        <v>79.800000000000011</v>
      </c>
      <c r="C8" s="97" t="s">
        <v>87</v>
      </c>
      <c r="D8" s="97" t="s">
        <v>87</v>
      </c>
      <c r="E8" s="97" t="s">
        <v>87</v>
      </c>
      <c r="F8" s="97" t="s">
        <v>87</v>
      </c>
      <c r="G8" s="97" t="s">
        <v>87</v>
      </c>
      <c r="H8" s="97" t="s">
        <v>87</v>
      </c>
    </row>
    <row r="9" spans="1:8" s="11" customFormat="1" ht="20.100000000000001" customHeight="1" thickBot="1">
      <c r="A9" s="36" t="s">
        <v>82</v>
      </c>
      <c r="B9" s="98">
        <v>80.489999999999995</v>
      </c>
      <c r="C9" s="102" t="s">
        <v>87</v>
      </c>
      <c r="D9" s="99" t="s">
        <v>87</v>
      </c>
      <c r="E9" s="99" t="s">
        <v>87</v>
      </c>
      <c r="F9" s="99" t="s">
        <v>87</v>
      </c>
      <c r="G9" s="99" t="s">
        <v>87</v>
      </c>
      <c r="H9" s="99" t="s">
        <v>87</v>
      </c>
    </row>
    <row r="10" spans="1:8" s="11" customFormat="1" ht="20.25" customHeight="1" thickTop="1">
      <c r="A10" s="10" t="s">
        <v>88</v>
      </c>
      <c r="B10" s="37">
        <v>85.4</v>
      </c>
      <c r="C10" s="38">
        <v>83.63</v>
      </c>
      <c r="D10" s="38">
        <v>84.24</v>
      </c>
      <c r="E10" s="38">
        <v>84.38</v>
      </c>
      <c r="F10" s="38">
        <v>84.82</v>
      </c>
      <c r="G10" s="38">
        <v>88.4</v>
      </c>
      <c r="H10" s="38">
        <v>85.48</v>
      </c>
    </row>
    <row r="11" spans="1:8" s="11" customFormat="1" ht="20.25" customHeight="1">
      <c r="A11" s="24" t="s">
        <v>89</v>
      </c>
      <c r="B11" s="37">
        <v>85.3</v>
      </c>
      <c r="C11" s="38">
        <v>83.63</v>
      </c>
      <c r="D11" s="38">
        <v>84.24</v>
      </c>
      <c r="E11" s="38">
        <v>86.42</v>
      </c>
      <c r="F11" s="38">
        <v>84.82</v>
      </c>
      <c r="G11" s="38">
        <v>88.4</v>
      </c>
      <c r="H11" s="38">
        <v>85.48</v>
      </c>
    </row>
    <row r="12" spans="1:8" s="11" customFormat="1" ht="20.25" customHeight="1">
      <c r="A12" s="10" t="s">
        <v>90</v>
      </c>
      <c r="B12" s="37">
        <v>85.4</v>
      </c>
      <c r="C12" s="38">
        <v>84.6</v>
      </c>
      <c r="D12" s="38">
        <v>83.5</v>
      </c>
      <c r="E12" s="38">
        <v>85.7</v>
      </c>
      <c r="F12" s="38">
        <v>83.6</v>
      </c>
      <c r="G12" s="38">
        <v>88.1</v>
      </c>
      <c r="H12" s="38">
        <v>84.7</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B6"/>
  <sheetViews>
    <sheetView zoomScaleNormal="100" workbookViewId="0"/>
  </sheetViews>
  <sheetFormatPr defaultRowHeight="14.25"/>
  <cols>
    <col min="1" max="1" width="50.59765625" customWidth="1"/>
    <col min="2" max="8" width="20.59765625" customWidth="1"/>
  </cols>
  <sheetData>
    <row r="1" spans="1:2" ht="30" customHeight="1">
      <c r="A1" s="8" t="s">
        <v>91</v>
      </c>
      <c r="B1" s="8"/>
    </row>
    <row r="2" spans="1:2" ht="20.100000000000001" customHeight="1">
      <c r="A2" s="20" t="s">
        <v>46</v>
      </c>
      <c r="B2" s="74"/>
    </row>
    <row r="3" spans="1:2" ht="50.25" customHeight="1">
      <c r="A3" s="10" t="s">
        <v>70</v>
      </c>
      <c r="B3" s="18" t="s">
        <v>71</v>
      </c>
    </row>
    <row r="4" spans="1:2" ht="20.25" customHeight="1">
      <c r="A4" s="10" t="s">
        <v>88</v>
      </c>
      <c r="B4" s="107">
        <v>95.06</v>
      </c>
    </row>
    <row r="5" spans="1:2" ht="20.25" customHeight="1">
      <c r="A5" s="24" t="s">
        <v>89</v>
      </c>
      <c r="B5" s="107">
        <v>96.88</v>
      </c>
    </row>
    <row r="6" spans="1:2" ht="20.25" customHeight="1">
      <c r="A6" s="10" t="s">
        <v>90</v>
      </c>
      <c r="B6" s="108">
        <v>95.31</v>
      </c>
    </row>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7">
    <tabColor rgb="FF253268"/>
  </sheetPr>
  <dimension ref="A1:H7"/>
  <sheetViews>
    <sheetView zoomScaleNormal="100" workbookViewId="0"/>
  </sheetViews>
  <sheetFormatPr defaultRowHeight="14.25"/>
  <cols>
    <col min="1" max="1" width="50.59765625" customWidth="1"/>
    <col min="2" max="8" width="20.59765625" customWidth="1"/>
  </cols>
  <sheetData>
    <row r="1" spans="1:8" ht="30" customHeight="1">
      <c r="A1" s="74" t="s">
        <v>92</v>
      </c>
      <c r="B1" s="12"/>
      <c r="C1" s="12"/>
      <c r="D1" s="12"/>
      <c r="E1" s="12"/>
      <c r="F1" s="12"/>
      <c r="G1" s="12"/>
      <c r="H1" s="12"/>
    </row>
    <row r="2" spans="1:8" ht="20.100000000000001" customHeight="1">
      <c r="A2" s="9" t="s">
        <v>46</v>
      </c>
      <c r="B2" s="12"/>
      <c r="C2" s="12"/>
      <c r="D2" s="12"/>
      <c r="E2" s="12"/>
      <c r="F2" s="12"/>
      <c r="G2" s="12"/>
      <c r="H2" s="12"/>
    </row>
    <row r="3" spans="1:8" ht="50.25" customHeight="1">
      <c r="A3" s="10" t="s">
        <v>70</v>
      </c>
      <c r="B3" s="27" t="s">
        <v>71</v>
      </c>
      <c r="C3" s="18" t="s">
        <v>72</v>
      </c>
      <c r="D3" s="18" t="s">
        <v>73</v>
      </c>
      <c r="E3" s="18" t="s">
        <v>74</v>
      </c>
      <c r="F3" s="18" t="s">
        <v>75</v>
      </c>
      <c r="G3" s="18" t="s">
        <v>76</v>
      </c>
      <c r="H3" s="18" t="s">
        <v>77</v>
      </c>
    </row>
    <row r="4" spans="1:8" ht="20.25" customHeight="1">
      <c r="A4" s="10" t="s">
        <v>93</v>
      </c>
      <c r="B4" s="110">
        <v>72</v>
      </c>
      <c r="C4" s="111">
        <v>70</v>
      </c>
      <c r="D4" s="111">
        <v>69</v>
      </c>
      <c r="E4" s="111">
        <v>66</v>
      </c>
      <c r="F4" s="111">
        <v>85</v>
      </c>
      <c r="G4" s="111">
        <v>68</v>
      </c>
      <c r="H4" s="111">
        <v>79</v>
      </c>
    </row>
    <row r="5" spans="1:8" ht="20.25" customHeight="1">
      <c r="A5" s="24" t="s">
        <v>89</v>
      </c>
      <c r="B5" s="110">
        <v>71</v>
      </c>
      <c r="C5" s="112">
        <v>69</v>
      </c>
      <c r="D5" s="112">
        <v>68</v>
      </c>
      <c r="E5" s="112">
        <v>67</v>
      </c>
      <c r="F5" s="112">
        <v>82</v>
      </c>
      <c r="G5" s="112">
        <v>68</v>
      </c>
      <c r="H5" s="112">
        <v>77</v>
      </c>
    </row>
    <row r="6" spans="1:8" ht="20.25" customHeight="1">
      <c r="A6" s="10" t="s">
        <v>90</v>
      </c>
      <c r="B6" s="110">
        <v>69</v>
      </c>
      <c r="C6" s="111">
        <v>69</v>
      </c>
      <c r="D6" s="111">
        <v>70</v>
      </c>
      <c r="E6" s="111">
        <v>66</v>
      </c>
      <c r="F6" s="111">
        <v>77</v>
      </c>
      <c r="G6" s="111">
        <v>64</v>
      </c>
      <c r="H6" s="111">
        <v>64</v>
      </c>
    </row>
    <row r="7" spans="1:8" ht="12.75" customHeight="1">
      <c r="A7" s="10"/>
      <c r="B7" s="38"/>
      <c r="C7" s="75"/>
      <c r="D7" s="75"/>
      <c r="E7" s="75"/>
      <c r="F7" s="75"/>
      <c r="G7" s="75"/>
      <c r="H7" s="7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8">
    <tabColor rgb="FF253268"/>
  </sheetPr>
  <dimension ref="A1:H6"/>
  <sheetViews>
    <sheetView zoomScaleNormal="100" workbookViewId="0"/>
  </sheetViews>
  <sheetFormatPr defaultRowHeight="14.25"/>
  <cols>
    <col min="1" max="1" width="50.59765625" customWidth="1"/>
    <col min="2" max="8" width="20.59765625" customWidth="1"/>
  </cols>
  <sheetData>
    <row r="1" spans="1:8" ht="30" customHeight="1">
      <c r="A1" s="74" t="s">
        <v>94</v>
      </c>
      <c r="B1" s="12"/>
      <c r="C1" s="12"/>
      <c r="D1" s="12"/>
      <c r="E1" s="12"/>
      <c r="F1" s="12"/>
      <c r="G1" s="12"/>
      <c r="H1" s="12"/>
    </row>
    <row r="2" spans="1:8" ht="20.100000000000001" customHeight="1">
      <c r="A2" s="9" t="s">
        <v>46</v>
      </c>
      <c r="B2" s="12"/>
      <c r="C2" s="12"/>
      <c r="D2" s="12"/>
      <c r="E2" s="12"/>
      <c r="F2" s="12"/>
      <c r="G2" s="12"/>
      <c r="H2" s="12"/>
    </row>
    <row r="3" spans="1:8" ht="50.25" customHeight="1">
      <c r="A3" s="10" t="s">
        <v>70</v>
      </c>
      <c r="B3" s="27" t="s">
        <v>71</v>
      </c>
      <c r="C3" s="18" t="s">
        <v>72</v>
      </c>
      <c r="D3" s="18" t="s">
        <v>73</v>
      </c>
      <c r="E3" s="18" t="s">
        <v>74</v>
      </c>
      <c r="F3" s="18" t="s">
        <v>75</v>
      </c>
      <c r="G3" s="18" t="s">
        <v>76</v>
      </c>
      <c r="H3" s="18" t="s">
        <v>77</v>
      </c>
    </row>
    <row r="4" spans="1:8" ht="20.25" customHeight="1">
      <c r="A4" s="10" t="s">
        <v>93</v>
      </c>
      <c r="B4" s="109">
        <v>99.62</v>
      </c>
      <c r="C4" s="107">
        <v>99.56</v>
      </c>
      <c r="D4" s="107">
        <v>99.64</v>
      </c>
      <c r="E4" s="107">
        <v>99.66</v>
      </c>
      <c r="F4" s="107">
        <v>99.46</v>
      </c>
      <c r="G4" s="107">
        <v>99.66</v>
      </c>
      <c r="H4" s="107">
        <v>99.61</v>
      </c>
    </row>
    <row r="5" spans="1:8" ht="20.25" customHeight="1">
      <c r="A5" s="24" t="s">
        <v>89</v>
      </c>
      <c r="B5" s="109">
        <v>99.59</v>
      </c>
      <c r="C5" s="107">
        <v>99.56</v>
      </c>
      <c r="D5" s="107">
        <v>99.66</v>
      </c>
      <c r="E5" s="107">
        <v>99.51</v>
      </c>
      <c r="F5" s="107">
        <v>99.51</v>
      </c>
      <c r="G5" s="107">
        <v>99.550000000000011</v>
      </c>
      <c r="H5" s="107">
        <v>99.62</v>
      </c>
    </row>
    <row r="6" spans="1:8" ht="20.25" customHeight="1">
      <c r="A6" s="10" t="s">
        <v>90</v>
      </c>
      <c r="B6" s="109">
        <v>99.65</v>
      </c>
      <c r="C6" s="107">
        <v>99.54</v>
      </c>
      <c r="D6" s="107">
        <v>99.77</v>
      </c>
      <c r="E6" s="107">
        <v>99.66</v>
      </c>
      <c r="F6" s="107">
        <v>99.59</v>
      </c>
      <c r="G6" s="107">
        <v>99.65</v>
      </c>
      <c r="H6" s="107">
        <v>99.6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Cover_sheet</vt:lpstr>
      <vt:lpstr>Notes </vt:lpstr>
      <vt:lpstr>Table_of_contents</vt:lpstr>
      <vt:lpstr>Dashboard </vt:lpstr>
      <vt:lpstr>Table_3a</vt:lpstr>
      <vt:lpstr>Table_3b</vt:lpstr>
      <vt:lpstr>Table_3c</vt:lpstr>
      <vt:lpstr>Table_3d</vt:lpstr>
      <vt:lpstr>Table_3e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Vilona, Tommaso</cp:lastModifiedBy>
  <cp:revision/>
  <dcterms:created xsi:type="dcterms:W3CDTF">2021-11-15T13:31:27Z</dcterms:created>
  <dcterms:modified xsi:type="dcterms:W3CDTF">2023-11-13T13:07:45Z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