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4.xml" ContentType="application/vnd.openxmlformats-officedocument.spreadsheetml.table+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13"/>
  <workbookPr filterPrivacy="1" codeName="ThisWorkbook" hidePivotFieldList="1" defaultThemeVersion="166925"/>
  <xr:revisionPtr revIDLastSave="2152" documentId="13_ncr:1_{5A097704-9AA8-4253-B1E9-58BEFBFA012B}" xr6:coauthVersionLast="47" xr6:coauthVersionMax="47" xr10:uidLastSave="{33333D57-0E0A-4DA5-B4DF-42B022E3ED28}"/>
  <bookViews>
    <workbookView xWindow="-110" yWindow="-110" windowWidth="19420" windowHeight="11500" xr2:uid="{6DE37243-59EC-4F79-869E-E7D6982C12D8}"/>
  </bookViews>
  <sheets>
    <sheet name="Cover_sheet" sheetId="4" r:id="rId1"/>
    <sheet name="Notes" sheetId="26" r:id="rId2"/>
    <sheet name="Table_of_contents" sheetId="12" r:id="rId3"/>
    <sheet name="Table_1a" sheetId="6" r:id="rId4"/>
    <sheet name="Table_1b" sheetId="7" r:id="rId5"/>
    <sheet name="Table_1c" sheetId="8" r:id="rId6"/>
    <sheet name="Table_1d" sheetId="22" r:id="rId7"/>
    <sheet name="Table_1e" sheetId="23" r:id="rId8"/>
    <sheet name="Table_1f" sheetId="21" r:id="rId9"/>
    <sheet name="Table_1g" sheetId="24" r:id="rId10"/>
    <sheet name="Table_1h" sheetId="16" r:id="rId11"/>
    <sheet name="Table_1i" sheetId="17" r:id="rId12"/>
    <sheet name="Table_1j" sheetId="18" r:id="rId13"/>
    <sheet name="Table_1k" sheetId="25" r:id="rId14"/>
    <sheet name="workings" sheetId="40" state="veryHidden" r:id="rId15"/>
    <sheet name="Data" sheetId="27" state="veryHidden" r:id="rId16"/>
  </sheets>
  <definedNames>
    <definedName name="Slicer_KPI1">#N/A</definedName>
    <definedName name="Slicer_Year1">#N/A</definedName>
  </definedNames>
  <calcPr calcId="191028"/>
  <pivotCaches>
    <pivotCache cacheId="2703" r:id="rId17"/>
  </pivotCaches>
  <extLst>
    <ext xmlns:x14="http://schemas.microsoft.com/office/spreadsheetml/2009/9/main" uri="{BBE1A952-AA13-448e-AADC-164F8A28A991}">
      <x14:slicerCaches>
        <x14:slicerCache r:id="rId18"/>
        <x14:slicerCache r:id="rId1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3" i="27" l="1"/>
  <c r="B73" i="27"/>
  <c r="E73" i="27" s="1"/>
  <c r="A74" i="27"/>
  <c r="B74" i="27"/>
  <c r="F74" i="27" s="1"/>
  <c r="E74" i="27"/>
  <c r="A70" i="27"/>
  <c r="B70" i="27"/>
  <c r="G70" i="27" s="1"/>
  <c r="A66" i="27"/>
  <c r="B66" i="27"/>
  <c r="I66" i="27" s="1"/>
  <c r="A62" i="27"/>
  <c r="B62" i="27"/>
  <c r="C62" i="27" s="1"/>
  <c r="G62" i="27"/>
  <c r="A58" i="27"/>
  <c r="B58" i="27"/>
  <c r="C58" i="27" s="1"/>
  <c r="A50" i="27"/>
  <c r="B50" i="27"/>
  <c r="E50" i="27" s="1"/>
  <c r="A42" i="27"/>
  <c r="B42" i="27"/>
  <c r="E42" i="27" s="1"/>
  <c r="C42" i="27"/>
  <c r="A34" i="27"/>
  <c r="B34" i="27"/>
  <c r="E34" i="27" s="1"/>
  <c r="B26" i="27"/>
  <c r="C26" i="27" s="1"/>
  <c r="A26" i="27"/>
  <c r="B18" i="27"/>
  <c r="C18" i="27" s="1"/>
  <c r="A18" i="27"/>
  <c r="A10" i="27"/>
  <c r="B10" i="27"/>
  <c r="C10" i="27" s="1"/>
  <c r="F62" i="27" l="1"/>
  <c r="K73" i="27"/>
  <c r="J73" i="27"/>
  <c r="I73" i="27"/>
  <c r="K74" i="27"/>
  <c r="H73" i="27"/>
  <c r="J74" i="27"/>
  <c r="G73" i="27"/>
  <c r="I74" i="27"/>
  <c r="F73" i="27"/>
  <c r="H74" i="27"/>
  <c r="G74" i="27"/>
  <c r="J62" i="27"/>
  <c r="I62" i="27"/>
  <c r="F70" i="27"/>
  <c r="E70" i="27"/>
  <c r="K62" i="27"/>
  <c r="K70" i="27"/>
  <c r="J70" i="27"/>
  <c r="I70" i="27"/>
  <c r="H70" i="27"/>
  <c r="H66" i="27"/>
  <c r="G66" i="27"/>
  <c r="F66" i="27"/>
  <c r="E66" i="27"/>
  <c r="K66" i="27"/>
  <c r="J66" i="27"/>
  <c r="E62" i="27"/>
  <c r="C50" i="27"/>
  <c r="H62" i="27"/>
  <c r="I42" i="27"/>
  <c r="H42" i="27"/>
  <c r="K58" i="27"/>
  <c r="H58" i="27"/>
  <c r="G58" i="27"/>
  <c r="F58" i="27"/>
  <c r="J58" i="27"/>
  <c r="I58" i="27"/>
  <c r="E58" i="27"/>
  <c r="K50" i="27"/>
  <c r="J50" i="27"/>
  <c r="I50" i="27"/>
  <c r="H50" i="27"/>
  <c r="G50" i="27"/>
  <c r="F50" i="27"/>
  <c r="K42" i="27"/>
  <c r="J42" i="27"/>
  <c r="G42" i="27"/>
  <c r="F42" i="27"/>
  <c r="C34" i="27"/>
  <c r="K34" i="27"/>
  <c r="J34" i="27"/>
  <c r="I34" i="27"/>
  <c r="H34" i="27"/>
  <c r="G34" i="27"/>
  <c r="F34" i="27"/>
  <c r="K26" i="27"/>
  <c r="J26" i="27"/>
  <c r="I26" i="27"/>
  <c r="H26" i="27"/>
  <c r="G26" i="27"/>
  <c r="F26" i="27"/>
  <c r="E26" i="27"/>
  <c r="K18" i="27"/>
  <c r="J18" i="27"/>
  <c r="I18" i="27"/>
  <c r="H18" i="27"/>
  <c r="G18" i="27"/>
  <c r="F18" i="27"/>
  <c r="E18" i="27"/>
  <c r="J10" i="27"/>
  <c r="H10" i="27"/>
  <c r="G10" i="27"/>
  <c r="F10" i="27"/>
  <c r="K10" i="27"/>
  <c r="I10" i="27"/>
  <c r="E10" i="27"/>
  <c r="A27" i="40" l="1"/>
  <c r="A26" i="40"/>
  <c r="A78" i="40"/>
  <c r="A69" i="27" l="1"/>
  <c r="B69" i="27"/>
  <c r="F69" i="27" s="1"/>
  <c r="A65" i="27"/>
  <c r="B65" i="27"/>
  <c r="F65" i="27" s="1"/>
  <c r="A61" i="27"/>
  <c r="B61" i="27"/>
  <c r="E61" i="27" s="1"/>
  <c r="A57" i="27"/>
  <c r="B57" i="27"/>
  <c r="E57" i="27" s="1"/>
  <c r="F57" i="27"/>
  <c r="A49" i="27"/>
  <c r="B49" i="27"/>
  <c r="E49" i="27" s="1"/>
  <c r="A41" i="27"/>
  <c r="B41" i="27"/>
  <c r="C41" i="27" s="1"/>
  <c r="A33" i="27"/>
  <c r="B33" i="27"/>
  <c r="E33" i="27" s="1"/>
  <c r="A25" i="27"/>
  <c r="B25" i="27"/>
  <c r="C25" i="27" s="1"/>
  <c r="A17" i="27"/>
  <c r="B17" i="27"/>
  <c r="I17" i="27" s="1"/>
  <c r="B9" i="27"/>
  <c r="E9" i="27" s="1"/>
  <c r="A9" i="27"/>
  <c r="A28" i="40"/>
  <c r="C57" i="27" l="1"/>
  <c r="K57" i="27"/>
  <c r="J57" i="27"/>
  <c r="I57" i="27"/>
  <c r="H57" i="27"/>
  <c r="H25" i="27"/>
  <c r="G25" i="27"/>
  <c r="F25" i="27"/>
  <c r="E25" i="27"/>
  <c r="I25" i="27"/>
  <c r="K25" i="27"/>
  <c r="J25" i="27"/>
  <c r="E17" i="27"/>
  <c r="H17" i="27"/>
  <c r="G17" i="27"/>
  <c r="F17" i="27"/>
  <c r="C17" i="27"/>
  <c r="K17" i="27"/>
  <c r="J17" i="27"/>
  <c r="E69" i="27"/>
  <c r="J69" i="27"/>
  <c r="I69" i="27"/>
  <c r="K69" i="27"/>
  <c r="H69" i="27"/>
  <c r="G69" i="27"/>
  <c r="K65" i="27"/>
  <c r="J65" i="27"/>
  <c r="I65" i="27"/>
  <c r="H65" i="27"/>
  <c r="E65" i="27"/>
  <c r="G65" i="27"/>
  <c r="H61" i="27"/>
  <c r="C61" i="27"/>
  <c r="K61" i="27"/>
  <c r="J61" i="27"/>
  <c r="G61" i="27"/>
  <c r="I61" i="27"/>
  <c r="F61" i="27"/>
  <c r="G57" i="27"/>
  <c r="J49" i="27"/>
  <c r="I49" i="27"/>
  <c r="H49" i="27"/>
  <c r="G49" i="27"/>
  <c r="C49" i="27"/>
  <c r="K49" i="27"/>
  <c r="F49" i="27"/>
  <c r="I41" i="27"/>
  <c r="H41" i="27"/>
  <c r="F41" i="27"/>
  <c r="G41" i="27"/>
  <c r="E41" i="27"/>
  <c r="K41" i="27"/>
  <c r="J41" i="27"/>
  <c r="J33" i="27"/>
  <c r="I33" i="27"/>
  <c r="H33" i="27"/>
  <c r="G33" i="27"/>
  <c r="C33" i="27"/>
  <c r="K33" i="27"/>
  <c r="F33" i="27"/>
  <c r="K9" i="27"/>
  <c r="J9" i="27"/>
  <c r="I9" i="27"/>
  <c r="H9" i="27"/>
  <c r="C9" i="27"/>
  <c r="G9" i="27"/>
  <c r="F9" i="27"/>
  <c r="A25" i="40"/>
  <c r="A23" i="40"/>
  <c r="A3" i="27" l="1"/>
  <c r="A24" i="40" l="1"/>
  <c r="A59" i="40" l="1"/>
  <c r="R68" i="40" s="1"/>
  <c r="B59" i="27"/>
  <c r="F59" i="27" s="1"/>
  <c r="A59" i="27"/>
  <c r="A72" i="27"/>
  <c r="A71" i="27"/>
  <c r="A68" i="27"/>
  <c r="A67" i="27"/>
  <c r="A64" i="27"/>
  <c r="A63" i="27"/>
  <c r="A60" i="27"/>
  <c r="A52" i="27"/>
  <c r="A53" i="27"/>
  <c r="A54" i="27"/>
  <c r="A55" i="27"/>
  <c r="A56" i="27"/>
  <c r="A51" i="27"/>
  <c r="A44" i="27"/>
  <c r="A45" i="27"/>
  <c r="A46" i="27"/>
  <c r="A47" i="27"/>
  <c r="A48" i="27"/>
  <c r="A43" i="27"/>
  <c r="A36" i="27"/>
  <c r="A37" i="27"/>
  <c r="A38" i="27"/>
  <c r="A39" i="27"/>
  <c r="A40" i="27"/>
  <c r="A35" i="27"/>
  <c r="A28" i="27"/>
  <c r="A29" i="27"/>
  <c r="A30" i="27"/>
  <c r="A31" i="27"/>
  <c r="A32" i="27"/>
  <c r="A27" i="27"/>
  <c r="A20" i="27"/>
  <c r="A21" i="27"/>
  <c r="A22" i="27"/>
  <c r="A23" i="27"/>
  <c r="A24" i="27"/>
  <c r="A19" i="27"/>
  <c r="A16" i="27"/>
  <c r="A12" i="27"/>
  <c r="A13" i="27"/>
  <c r="A14" i="27"/>
  <c r="A15" i="27"/>
  <c r="A11" i="27"/>
  <c r="A4" i="27"/>
  <c r="A5" i="27"/>
  <c r="A6" i="27"/>
  <c r="A7" i="27"/>
  <c r="A8" i="27"/>
  <c r="B64" i="27"/>
  <c r="H64" i="27" s="1"/>
  <c r="B63" i="27"/>
  <c r="J63" i="27" s="1"/>
  <c r="T68" i="40" l="1"/>
  <c r="T69" i="40"/>
  <c r="C59" i="40"/>
  <c r="H59" i="40"/>
  <c r="I68" i="40"/>
  <c r="R69" i="40"/>
  <c r="M68" i="40"/>
  <c r="M69" i="40"/>
  <c r="I69" i="40"/>
  <c r="G59" i="40"/>
  <c r="F59" i="40"/>
  <c r="D59" i="40"/>
  <c r="I63" i="27"/>
  <c r="H63" i="27"/>
  <c r="G64" i="27"/>
  <c r="K59" i="27"/>
  <c r="C59" i="27"/>
  <c r="E59" i="40"/>
  <c r="B59" i="40"/>
  <c r="J59" i="27"/>
  <c r="G63" i="27"/>
  <c r="E64" i="27"/>
  <c r="F64" i="27"/>
  <c r="I59" i="27"/>
  <c r="F63" i="27"/>
  <c r="E63" i="27"/>
  <c r="H59" i="27"/>
  <c r="K64" i="27"/>
  <c r="G59" i="27"/>
  <c r="E59" i="27"/>
  <c r="J64" i="27"/>
  <c r="K63" i="27"/>
  <c r="I64" i="27"/>
  <c r="A29" i="40" l="1"/>
  <c r="A30" i="40"/>
  <c r="B62" i="40"/>
  <c r="B65" i="40" s="1"/>
  <c r="B72" i="27"/>
  <c r="B71" i="27"/>
  <c r="B67" i="27"/>
  <c r="B68" i="27"/>
  <c r="B60" i="27"/>
  <c r="B52" i="27"/>
  <c r="B53" i="27"/>
  <c r="B54" i="27"/>
  <c r="B55" i="27"/>
  <c r="B56" i="27"/>
  <c r="B51" i="27"/>
  <c r="B44" i="27"/>
  <c r="B45" i="27"/>
  <c r="B46" i="27"/>
  <c r="B47" i="27"/>
  <c r="B48" i="27"/>
  <c r="B43" i="27"/>
  <c r="B36" i="27"/>
  <c r="B37" i="27"/>
  <c r="B38" i="27"/>
  <c r="B39" i="27"/>
  <c r="B40" i="27"/>
  <c r="B35" i="27"/>
  <c r="B28" i="27"/>
  <c r="B29" i="27"/>
  <c r="B30" i="27"/>
  <c r="B31" i="27"/>
  <c r="B32" i="27"/>
  <c r="B27" i="27"/>
  <c r="B20" i="27"/>
  <c r="B21" i="27"/>
  <c r="B22" i="27"/>
  <c r="B23" i="27"/>
  <c r="B24" i="27"/>
  <c r="B19" i="27"/>
  <c r="B12" i="27"/>
  <c r="F12" i="27" s="1"/>
  <c r="B13" i="27"/>
  <c r="B14" i="27"/>
  <c r="B15" i="27"/>
  <c r="B16" i="27"/>
  <c r="B11" i="27"/>
  <c r="B4" i="27"/>
  <c r="B5" i="27"/>
  <c r="E5" i="27" s="1"/>
  <c r="B6" i="27"/>
  <c r="B7" i="27"/>
  <c r="F7" i="27" s="1"/>
  <c r="B8" i="27"/>
  <c r="B3" i="27"/>
  <c r="C3" i="27" l="1"/>
  <c r="F3" i="27"/>
  <c r="E62" i="40"/>
  <c r="I62" i="40" s="1"/>
  <c r="K62" i="40" s="1"/>
  <c r="B63" i="40"/>
  <c r="B69" i="40"/>
  <c r="E65" i="40"/>
  <c r="F65" i="40" s="1"/>
  <c r="K60" i="27"/>
  <c r="E60" i="27"/>
  <c r="I60" i="27"/>
  <c r="J60" i="27"/>
  <c r="F60" i="27"/>
  <c r="G60" i="27"/>
  <c r="H60" i="27"/>
  <c r="I68" i="27"/>
  <c r="G68" i="27"/>
  <c r="J68" i="27"/>
  <c r="E68" i="27"/>
  <c r="K68" i="27"/>
  <c r="H68" i="27"/>
  <c r="F68" i="27"/>
  <c r="G67" i="27"/>
  <c r="F67" i="27"/>
  <c r="H67" i="27"/>
  <c r="I67" i="27"/>
  <c r="J67" i="27"/>
  <c r="E67" i="27"/>
  <c r="K67" i="27"/>
  <c r="F71" i="27"/>
  <c r="G71" i="27"/>
  <c r="H71" i="27"/>
  <c r="I71" i="27"/>
  <c r="J71" i="27"/>
  <c r="K71" i="27"/>
  <c r="E71" i="27"/>
  <c r="H72" i="27"/>
  <c r="I72" i="27"/>
  <c r="J72" i="27"/>
  <c r="G72" i="27"/>
  <c r="K72" i="27"/>
  <c r="E72" i="27"/>
  <c r="F72" i="27"/>
  <c r="K14" i="27"/>
  <c r="F14" i="27"/>
  <c r="G14" i="27"/>
  <c r="J14" i="27"/>
  <c r="H14" i="27"/>
  <c r="I14" i="27"/>
  <c r="E14" i="27"/>
  <c r="K46" i="27"/>
  <c r="F46" i="27"/>
  <c r="G46" i="27"/>
  <c r="J46" i="27"/>
  <c r="E46" i="27"/>
  <c r="H46" i="27"/>
  <c r="I46" i="27"/>
  <c r="E7" i="27"/>
  <c r="G7" i="27"/>
  <c r="H7" i="27"/>
  <c r="I7" i="27"/>
  <c r="J7" i="27"/>
  <c r="K7" i="27"/>
  <c r="K32" i="27"/>
  <c r="J32" i="27"/>
  <c r="F32" i="27"/>
  <c r="G32" i="27"/>
  <c r="H32" i="27"/>
  <c r="E32" i="27"/>
  <c r="I32" i="27"/>
  <c r="G44" i="27"/>
  <c r="H44" i="27"/>
  <c r="I44" i="27"/>
  <c r="J44" i="27"/>
  <c r="F44" i="27"/>
  <c r="K44" i="27"/>
  <c r="E44" i="27"/>
  <c r="I5" i="27"/>
  <c r="J5" i="27"/>
  <c r="K5" i="27"/>
  <c r="F5" i="27"/>
  <c r="H5" i="27"/>
  <c r="G5" i="27"/>
  <c r="G19" i="27"/>
  <c r="E19" i="27"/>
  <c r="H19" i="27"/>
  <c r="I19" i="27"/>
  <c r="J19" i="27"/>
  <c r="K19" i="27"/>
  <c r="F19" i="27"/>
  <c r="I31" i="27"/>
  <c r="J31" i="27"/>
  <c r="H31" i="27"/>
  <c r="K31" i="27"/>
  <c r="E31" i="27"/>
  <c r="F31" i="27"/>
  <c r="G31" i="27"/>
  <c r="G37" i="27"/>
  <c r="E37" i="27"/>
  <c r="H37" i="27"/>
  <c r="I37" i="27"/>
  <c r="J37" i="27"/>
  <c r="K37" i="27"/>
  <c r="F37" i="27"/>
  <c r="G51" i="27"/>
  <c r="E51" i="27"/>
  <c r="H51" i="27"/>
  <c r="I51" i="27"/>
  <c r="J51" i="27"/>
  <c r="K51" i="27"/>
  <c r="F51" i="27"/>
  <c r="G8" i="27"/>
  <c r="H8" i="27"/>
  <c r="E8" i="27"/>
  <c r="I8" i="27"/>
  <c r="J8" i="27"/>
  <c r="K8" i="27"/>
  <c r="F8" i="27"/>
  <c r="I20" i="27"/>
  <c r="J20" i="27"/>
  <c r="K20" i="27"/>
  <c r="E20" i="27"/>
  <c r="F20" i="27"/>
  <c r="H20" i="27"/>
  <c r="G20" i="27"/>
  <c r="I13" i="27"/>
  <c r="J13" i="27"/>
  <c r="K13" i="27"/>
  <c r="F13" i="27"/>
  <c r="E13" i="27"/>
  <c r="H13" i="27"/>
  <c r="G13" i="27"/>
  <c r="K39" i="27"/>
  <c r="E39" i="27"/>
  <c r="F39" i="27"/>
  <c r="G39" i="27"/>
  <c r="J39" i="27"/>
  <c r="H39" i="27"/>
  <c r="I39" i="27"/>
  <c r="K6" i="27"/>
  <c r="E6" i="27"/>
  <c r="F6" i="27"/>
  <c r="G6" i="27"/>
  <c r="J6" i="27"/>
  <c r="H6" i="27"/>
  <c r="I6" i="27"/>
  <c r="I38" i="27"/>
  <c r="H38" i="27"/>
  <c r="J38" i="27"/>
  <c r="E38" i="27"/>
  <c r="K38" i="27"/>
  <c r="F38" i="27"/>
  <c r="G38" i="27"/>
  <c r="G4" i="27"/>
  <c r="H4" i="27"/>
  <c r="I4" i="27"/>
  <c r="J4" i="27"/>
  <c r="F4" i="27"/>
  <c r="K4" i="27"/>
  <c r="E4" i="27"/>
  <c r="I24" i="27"/>
  <c r="H24" i="27"/>
  <c r="J24" i="27"/>
  <c r="K24" i="27"/>
  <c r="F24" i="27"/>
  <c r="G24" i="27"/>
  <c r="E24" i="27"/>
  <c r="G30" i="27"/>
  <c r="H30" i="27"/>
  <c r="I30" i="27"/>
  <c r="F30" i="27"/>
  <c r="J30" i="27"/>
  <c r="E30" i="27"/>
  <c r="K30" i="27"/>
  <c r="E36" i="27"/>
  <c r="F36" i="27"/>
  <c r="G36" i="27"/>
  <c r="H36" i="27"/>
  <c r="I36" i="27"/>
  <c r="J36" i="27"/>
  <c r="K36" i="27"/>
  <c r="I56" i="27"/>
  <c r="E56" i="27"/>
  <c r="J56" i="27"/>
  <c r="K56" i="27"/>
  <c r="H56" i="27"/>
  <c r="F56" i="27"/>
  <c r="G56" i="27"/>
  <c r="E11" i="27"/>
  <c r="F11" i="27"/>
  <c r="G11" i="27"/>
  <c r="H11" i="27"/>
  <c r="I11" i="27"/>
  <c r="J11" i="27"/>
  <c r="K11" i="27"/>
  <c r="G23" i="27"/>
  <c r="H23" i="27"/>
  <c r="I23" i="27"/>
  <c r="J23" i="27"/>
  <c r="K23" i="27"/>
  <c r="F23" i="27"/>
  <c r="E23" i="27"/>
  <c r="F29" i="27"/>
  <c r="G29" i="27"/>
  <c r="E29" i="27"/>
  <c r="H29" i="27"/>
  <c r="I29" i="27"/>
  <c r="J29" i="27"/>
  <c r="K29" i="27"/>
  <c r="F43" i="27"/>
  <c r="G43" i="27"/>
  <c r="E43" i="27"/>
  <c r="H43" i="27"/>
  <c r="I43" i="27"/>
  <c r="J43" i="27"/>
  <c r="K43" i="27"/>
  <c r="G55" i="27"/>
  <c r="H55" i="27"/>
  <c r="I55" i="27"/>
  <c r="J55" i="27"/>
  <c r="K55" i="27"/>
  <c r="E55" i="27"/>
  <c r="F55" i="27"/>
  <c r="I16" i="27"/>
  <c r="F16" i="27"/>
  <c r="J16" i="27"/>
  <c r="K16" i="27"/>
  <c r="H16" i="27"/>
  <c r="E16" i="27"/>
  <c r="G16" i="27"/>
  <c r="F22" i="27"/>
  <c r="G22" i="27"/>
  <c r="H22" i="27"/>
  <c r="I22" i="27"/>
  <c r="J22" i="27"/>
  <c r="E22" i="27"/>
  <c r="K22" i="27"/>
  <c r="K28" i="27"/>
  <c r="E28" i="27"/>
  <c r="F28" i="27"/>
  <c r="G28" i="27"/>
  <c r="J28" i="27"/>
  <c r="H28" i="27"/>
  <c r="I28" i="27"/>
  <c r="G48" i="27"/>
  <c r="F48" i="27"/>
  <c r="H48" i="27"/>
  <c r="E48" i="27"/>
  <c r="I48" i="27"/>
  <c r="J48" i="27"/>
  <c r="K48" i="27"/>
  <c r="F54" i="27"/>
  <c r="G54" i="27"/>
  <c r="H54" i="27"/>
  <c r="I54" i="27"/>
  <c r="J54" i="27"/>
  <c r="E54" i="27"/>
  <c r="K54" i="27"/>
  <c r="F40" i="27"/>
  <c r="G40" i="27"/>
  <c r="H40" i="27"/>
  <c r="E40" i="27"/>
  <c r="I40" i="27"/>
  <c r="J40" i="27"/>
  <c r="K40" i="27"/>
  <c r="I52" i="27"/>
  <c r="J52" i="27"/>
  <c r="H52" i="27"/>
  <c r="K52" i="27"/>
  <c r="E52" i="27"/>
  <c r="F52" i="27"/>
  <c r="G52" i="27"/>
  <c r="I27" i="27"/>
  <c r="J27" i="27"/>
  <c r="K27" i="27"/>
  <c r="F27" i="27"/>
  <c r="G27" i="27"/>
  <c r="E27" i="27"/>
  <c r="H27" i="27"/>
  <c r="I45" i="27"/>
  <c r="H45" i="27"/>
  <c r="J45" i="27"/>
  <c r="K45" i="27"/>
  <c r="F45" i="27"/>
  <c r="G45" i="27"/>
  <c r="E45" i="27"/>
  <c r="G12" i="27"/>
  <c r="H12" i="27"/>
  <c r="I12" i="27"/>
  <c r="J12" i="27"/>
  <c r="K12" i="27"/>
  <c r="E12" i="27"/>
  <c r="G3" i="27"/>
  <c r="E3" i="27"/>
  <c r="H3" i="27"/>
  <c r="I3" i="27"/>
  <c r="J3" i="27"/>
  <c r="K3" i="27"/>
  <c r="G15" i="27"/>
  <c r="F15" i="27"/>
  <c r="H15" i="27"/>
  <c r="I15" i="27"/>
  <c r="J15" i="27"/>
  <c r="K15" i="27"/>
  <c r="E15" i="27"/>
  <c r="K21" i="27"/>
  <c r="F21" i="27"/>
  <c r="J21" i="27"/>
  <c r="G21" i="27"/>
  <c r="E21" i="27"/>
  <c r="H21" i="27"/>
  <c r="I21" i="27"/>
  <c r="K35" i="27"/>
  <c r="J35" i="27"/>
  <c r="F35" i="27"/>
  <c r="G35" i="27"/>
  <c r="E35" i="27"/>
  <c r="H35" i="27"/>
  <c r="I35" i="27"/>
  <c r="E47" i="27"/>
  <c r="F47" i="27"/>
  <c r="G47" i="27"/>
  <c r="H47" i="27"/>
  <c r="I47" i="27"/>
  <c r="J47" i="27"/>
  <c r="K47" i="27"/>
  <c r="K53" i="27"/>
  <c r="J53" i="27"/>
  <c r="F53" i="27"/>
  <c r="G53" i="27"/>
  <c r="E53" i="27"/>
  <c r="H53" i="27"/>
  <c r="I53" i="27"/>
  <c r="C43" i="27"/>
  <c r="C16" i="27"/>
  <c r="C22" i="27"/>
  <c r="C4" i="27"/>
  <c r="C15" i="27"/>
  <c r="C14" i="27"/>
  <c r="C20" i="27"/>
  <c r="C46" i="27"/>
  <c r="C52" i="27"/>
  <c r="C21" i="27"/>
  <c r="C7" i="27"/>
  <c r="C47" i="27"/>
  <c r="C6" i="27"/>
  <c r="C12" i="27"/>
  <c r="C32" i="27"/>
  <c r="C5" i="27"/>
  <c r="C60" i="27"/>
  <c r="C11" i="27"/>
  <c r="C48" i="27"/>
  <c r="C23" i="27"/>
  <c r="C55" i="27"/>
  <c r="C19" i="27"/>
  <c r="C39" i="27"/>
  <c r="C37" i="27"/>
  <c r="C31" i="27"/>
  <c r="C56" i="27"/>
  <c r="C13" i="27"/>
  <c r="C30" i="27"/>
  <c r="C36" i="27"/>
  <c r="C45" i="27"/>
  <c r="C35" i="27"/>
  <c r="C54" i="27"/>
  <c r="C28" i="27"/>
  <c r="C53" i="27"/>
  <c r="C29" i="27"/>
  <c r="C44" i="27"/>
  <c r="C8" i="27"/>
  <c r="C27" i="27"/>
  <c r="C24" i="27"/>
  <c r="C40" i="27"/>
  <c r="C51" i="27"/>
  <c r="C38" i="27"/>
  <c r="E63" i="40" l="1"/>
  <c r="I63" i="40" s="1"/>
  <c r="K63" i="40" s="1"/>
  <c r="B66" i="40"/>
  <c r="B68" i="40" s="1"/>
  <c r="F62" i="40"/>
  <c r="E66" i="40"/>
  <c r="I66" i="40" s="1"/>
  <c r="F69" i="40"/>
  <c r="I65" i="40"/>
  <c r="F63" i="40" l="1"/>
  <c r="A76" i="40" s="1"/>
  <c r="F66" i="40"/>
  <c r="A73" i="40" s="1"/>
  <c r="F68" i="40"/>
  <c r="A74" i="40" l="1"/>
  <c r="A72" i="40"/>
  <c r="A75" i="40"/>
  <c r="A71" i="40" l="1"/>
</calcChain>
</file>

<file path=xl/sharedStrings.xml><?xml version="1.0" encoding="utf-8"?>
<sst xmlns="http://schemas.openxmlformats.org/spreadsheetml/2006/main" count="553" uniqueCount="199">
  <si>
    <t>Table 1: Improving safety for all, England's strategic road network, January 2015 to March 2025</t>
  </si>
  <si>
    <r>
      <t xml:space="preserve">The Performance Specification (PS) sets out what the government expects National Highways to achieve in that road period. The first road period (road period 1) covered April 2015 to March 2020. The second road period (road period 2) covered April 2020 to March 2025. The PS includes a range of quantitative performance measures that ORR uses to hold National Highways to account for its performance in managing, upgrading and maintaining the strategic road network (SRN). </t>
    </r>
    <r>
      <rPr>
        <sz val="12"/>
        <color theme="1"/>
        <rFont val="Calibri"/>
        <family val="2"/>
      </rPr>
      <t xml:space="preserve">The performance measures comprise Key Performance Indicators (KPIs) and Performance Indictors (PIs). KPIs are high-level measures of performance. They are typically associated with a national-level performance target. PIs are used to monitor performance but do not have targets. Current road period 2 KPIs and PIs are organised around six outcome areas: </t>
    </r>
    <r>
      <rPr>
        <sz val="12"/>
        <color rgb="FFFF0000"/>
        <rFont val="Calibri"/>
        <family val="2"/>
      </rPr>
      <t xml:space="preserve">
</t>
    </r>
    <r>
      <rPr>
        <sz val="12"/>
        <color rgb="FF000000"/>
        <rFont val="Calibri"/>
        <family val="2"/>
      </rPr>
      <t xml:space="preserve">
PS1: Improving safety for all
PS2: Providing fast and reliable journeys
PS3: A well maintained and resilient network
PS4: Being environmentally responsible
PS5: Meeting the needs of all road users
PS6: Achieving efficient delivery
This spreadsheet contains data for the KPIs and PIs under PS1: Improving safety for all. The KPIs under this theme are:
</t>
    </r>
    <r>
      <rPr>
        <b/>
        <sz val="12"/>
        <color rgb="FF000000"/>
        <rFont val="Calibri"/>
        <family val="2"/>
      </rPr>
      <t>KPI: The number of people killed or seriously injured on the strategic road network (SRN). 
(National-level target for road period 2: A reduction in the number of people killed or seriously injured of at least 50% by the end of 2025 compared to 2005-09 baseline).</t>
    </r>
    <r>
      <rPr>
        <sz val="12"/>
        <color rgb="FF000000"/>
        <rFont val="Calibri"/>
        <family val="2"/>
      </rPr>
      <t xml:space="preserve">
</t>
    </r>
  </si>
  <si>
    <r>
      <t xml:space="preserve">The PIs under this theme are:
</t>
    </r>
    <r>
      <rPr>
        <b/>
        <sz val="12"/>
        <color rgb="FF000000"/>
        <rFont val="Calibri"/>
        <family val="2"/>
      </rPr>
      <t xml:space="preserve">PI: The total number of people killed or injured on the SRN.
PI: The number of non-motorised and motorcyclist users killed or injured on the SRN.
</t>
    </r>
    <r>
      <rPr>
        <b/>
        <sz val="12"/>
        <rFont val="Calibri"/>
        <family val="2"/>
      </rPr>
      <t xml:space="preserve">PI: The number of motorcyclist users killed or injured on the SRN.
PI: The number of cyclists killed or injured on the SRN.
PI: The number of pedestrians killed or injured on the SRN.
PI: The number of equestrians killed or injured on the SRN.
</t>
    </r>
    <r>
      <rPr>
        <b/>
        <sz val="12"/>
        <color rgb="FF000000"/>
        <rFont val="Calibri"/>
        <family val="2"/>
      </rPr>
      <t>PI: The number of injury collisions on the SRN. 
PI: The accident frequency rate for National Highways staff.
PI: The accident frequency rate for National Highways supply chain staff.
PI: The % of traffic using iRAP 3* or above rated roads.</t>
    </r>
  </si>
  <si>
    <r>
      <t xml:space="preserve">National Highways has six operational regions: North-West, Yorkshire and North-East, Midlands, East, South-East and South-West. ORR holds National Highways to account for its national-level performance. </t>
    </r>
    <r>
      <rPr>
        <sz val="12"/>
        <color theme="1"/>
        <rFont val="Calibri"/>
        <family val="2"/>
      </rPr>
      <t xml:space="preserve">National Highways does not have specific regional targets. </t>
    </r>
    <r>
      <rPr>
        <sz val="12"/>
        <color rgb="FF000000"/>
        <rFont val="Calibri"/>
        <family val="2"/>
      </rPr>
      <t xml:space="preserve"> The company  makes available regional performance data for a sub-set of the KPIs and PIs. This spreadsheet includes regional data where available. Note: National Highways’ regional boundaries do not precisely align with administrative regional boundaries. Regional data excludes sections of the SRN operated via Design Build Operate and Finance (DBFO) contracts. A network management map can be found here: 
</t>
    </r>
  </si>
  <si>
    <t>National Highways' roads</t>
  </si>
  <si>
    <t>Where KPIs and PIs are consistent with those used in road period 1, performance data for that road period has also been provided. In some cases changes in methodology have occurred that affect the comparability of data for different years. In such cases a break in the time series is indicated.</t>
  </si>
  <si>
    <t>More detailed information about the indicators and measurement methodologies can be found here:</t>
  </si>
  <si>
    <t xml:space="preserve">National Highways' Operational Metrics Manual </t>
  </si>
  <si>
    <t xml:space="preserve">Definitions </t>
  </si>
  <si>
    <t>A fatal injury = any human casualty who has sustained injuries which caused death less than 30 days after the incident. Confirmed suicides are excluded.</t>
  </si>
  <si>
    <t xml:space="preserve">Casualty = A person killed or injured in an incident excluding suicide. Causalities are sub divided into killed, seriously injured and slightly injured. </t>
  </si>
  <si>
    <t xml:space="preserve">Safety indicators relating to casualty and collisions on the SRN are taken from DfT Stats-19 data published annually. The publication timeline creates a time lag for data availability. We expect validated data for 2024 at the end of September 2025. The most recent data used in this spreadsheet is for 2023. </t>
  </si>
  <si>
    <t>Source Data</t>
  </si>
  <si>
    <t xml:space="preserve">National-level data is taken from the performance monitoring statements published by National Highways: </t>
  </si>
  <si>
    <t>Performance Monitoring Statement (April 2024 to March 2025)</t>
  </si>
  <si>
    <t>Performance Monitoring Statement (April 2023 to March 2024)</t>
  </si>
  <si>
    <t>Performance Monitoring Statement (April 2022 to March 2023)</t>
  </si>
  <si>
    <t>Performance Monitoring Statement (April 2021 to March 2022)</t>
  </si>
  <si>
    <t xml:space="preserve">Performance Monitoring Statement (April 2020 to March 2021) </t>
  </si>
  <si>
    <t>Performance Monitoring Statement (April 2019 to March 2020)</t>
  </si>
  <si>
    <t xml:space="preserve">Regional-level data is taken from the regional performance disaggregation report published by National Highways: </t>
  </si>
  <si>
    <t>Annual Benchmarking Report (April 2023 to March 2024)</t>
  </si>
  <si>
    <t>Annual Benchmarking Report (Annex A April 2022 to March 2023)</t>
  </si>
  <si>
    <t>Regional Performance Disaggregation (April 2021 to March 2022)</t>
  </si>
  <si>
    <t>Regional Performance Disaggregation (April 2020 to March 2021)</t>
  </si>
  <si>
    <t>Data not available</t>
  </si>
  <si>
    <t xml:space="preserve">Some cells are denoted as not available and are marked on the table with [x]. </t>
  </si>
  <si>
    <t xml:space="preserve">Data not applicable </t>
  </si>
  <si>
    <t>Some cells are denoted as not applicable and are marked on the table with  [Z].</t>
  </si>
  <si>
    <t xml:space="preserve">Provisional Data </t>
  </si>
  <si>
    <t xml:space="preserve">Some cells are denoted as provisional and are marked on the table with [p]. </t>
  </si>
  <si>
    <t xml:space="preserve">Publication dates  </t>
  </si>
  <si>
    <r>
      <t xml:space="preserve">This data table was initially published </t>
    </r>
    <r>
      <rPr>
        <b/>
        <sz val="12"/>
        <color rgb="FF000000"/>
        <rFont val="Calibri"/>
        <family val="2"/>
      </rPr>
      <t>July 2025</t>
    </r>
  </si>
  <si>
    <t>Contact details</t>
  </si>
  <si>
    <t xml:space="preserve">highways.monitor@orr.gov.uk </t>
  </si>
  <si>
    <t>Media enquiries: 020 7282 3737</t>
  </si>
  <si>
    <t xml:space="preserve">Notes </t>
  </si>
  <si>
    <t xml:space="preserve">This worksheet contains one table. </t>
  </si>
  <si>
    <t xml:space="preserve">Note number </t>
  </si>
  <si>
    <t xml:space="preserve">Note text </t>
  </si>
  <si>
    <t>Note 1</t>
  </si>
  <si>
    <t>Data is affected by reduced travel demand due to the impact of the pandemic.</t>
  </si>
  <si>
    <t>Note 2</t>
  </si>
  <si>
    <t xml:space="preserve">Police forces have introduced changes in the way serious injuries are recorded. To ensure comparability over time, the number of killed or seriously injured casualties (KSIs) is adjusted to take account of the changes in methdology. </t>
  </si>
  <si>
    <t>Note 3</t>
  </si>
  <si>
    <t>Collision and casualty data include all trunk roads and motorways forming the SRN, including roads managed by Design, Build, Finance, and Operate (DBFO) organisations.</t>
  </si>
  <si>
    <t>Note 4</t>
  </si>
  <si>
    <t>Baseline performance will be calculated using data from April 2020 and the end of the road period in 2025 using the latest version of the iRAP model (version 3.02).</t>
  </si>
  <si>
    <t>Note 5</t>
  </si>
  <si>
    <t>All reportable incidents except “dangerous occurrences”, as defined in the Reporting of Injuries, Diseases and Dangerous  Occurrences Regulations (RIDDORs) 2013 reported by National Highways contractors and subcontractors. RIDDOR covers the reporting work-related deaths and injuries.</t>
  </si>
  <si>
    <t>Note 6</t>
  </si>
  <si>
    <t xml:space="preserve">This metric covers all reportable incidents except "dangerous occurrences", as defined in the Reporting of Injuries, Diseases and Dangerous Occurrences Regulations 2013 reported by National Highways contractors and subcontractors, including Design, Build, Finance and Operate (DBFO) organisations. </t>
  </si>
  <si>
    <t>Table of contents</t>
  </si>
  <si>
    <t>This worksheet contains one table.</t>
  </si>
  <si>
    <t>Worksheet name</t>
  </si>
  <si>
    <t>Worksheet title</t>
  </si>
  <si>
    <t>Table_1a</t>
  </si>
  <si>
    <t>The number of people killed or seriously injured on the SRN (adjusted for changes in police recording practices).</t>
  </si>
  <si>
    <t>Table_1b</t>
  </si>
  <si>
    <t>The total number of people killed or injured on the SRN.</t>
  </si>
  <si>
    <t>Table_1c</t>
  </si>
  <si>
    <r>
      <rPr>
        <b/>
        <sz val="12"/>
        <color rgb="FF000000"/>
        <rFont val="Calibri"/>
        <family val="2"/>
      </rPr>
      <t xml:space="preserve">The number of non-motorised and motorcyclist users killed or injured on the SRN: </t>
    </r>
    <r>
      <rPr>
        <sz val="12"/>
        <color rgb="FF000000"/>
        <rFont val="Calibri"/>
        <family val="2"/>
      </rPr>
      <t>This metric tracks the total number of pedestrian, pedal cyclist, motorcyclist and equestrian casualties on the SRN. This metric is further broken down by tables 1d, 1e, 1f, and 1g.</t>
    </r>
  </si>
  <si>
    <t>Table_1d</t>
  </si>
  <si>
    <t>The number of motorcyclist users killed or injured on the SRN.</t>
  </si>
  <si>
    <t>Table_1e</t>
  </si>
  <si>
    <t>The number of cyclists killed or injured on the SRN.</t>
  </si>
  <si>
    <t>Table_1f</t>
  </si>
  <si>
    <t>The number of pedestrians killed or injured on the SRN.</t>
  </si>
  <si>
    <t>Table_1g</t>
  </si>
  <si>
    <t>The number of equestrians killed or injured on the SRN.</t>
  </si>
  <si>
    <t>Table_1h</t>
  </si>
  <si>
    <r>
      <rPr>
        <b/>
        <sz val="12"/>
        <color rgb="FF000000"/>
        <rFont val="Calibri"/>
        <family val="2"/>
      </rPr>
      <t xml:space="preserve">The number of injury collisions on the SRN: </t>
    </r>
    <r>
      <rPr>
        <sz val="12"/>
        <color rgb="FF000000"/>
        <rFont val="Calibri"/>
        <family val="2"/>
      </rPr>
      <t>The total number of collisions recorded that resulted in at least one injury (of any severity) on the SRN.</t>
    </r>
  </si>
  <si>
    <t>Table_1i</t>
  </si>
  <si>
    <r>
      <rPr>
        <b/>
        <sz val="12"/>
        <color rgb="FF000000"/>
        <rFont val="Calibri"/>
        <family val="2"/>
      </rPr>
      <t xml:space="preserve">The accident frequency rate for National Highways staff: </t>
    </r>
    <r>
      <rPr>
        <sz val="12"/>
        <color rgb="FF000000"/>
        <rFont val="Calibri"/>
        <family val="2"/>
      </rPr>
      <t>The accident frequency rate for National Highways staff based on RIDDOR incidents and normalised by the number of hours worked in a year.</t>
    </r>
  </si>
  <si>
    <t>Table_1j</t>
  </si>
  <si>
    <r>
      <rPr>
        <b/>
        <sz val="12"/>
        <color rgb="FF000000"/>
        <rFont val="Calibri"/>
        <family val="2"/>
      </rPr>
      <t xml:space="preserve">The accident frequency rate for National Highways supply chain staff: </t>
    </r>
    <r>
      <rPr>
        <sz val="12"/>
        <color rgb="FF000000"/>
        <rFont val="Calibri"/>
        <family val="2"/>
      </rPr>
      <t xml:space="preserve">The accident frequency rate for National Highways supply chain staff based on RIDDOR incidents and normalised by the number of hours worked in a year. </t>
    </r>
  </si>
  <si>
    <t>Table_1k</t>
  </si>
  <si>
    <r>
      <t xml:space="preserve">The % of traffic using iRAP 3* or above rated roads: </t>
    </r>
    <r>
      <rPr>
        <sz val="12"/>
        <color rgb="FF000000"/>
        <rFont val="Calibri"/>
        <family val="2"/>
      </rPr>
      <t>The percentage of travel on roads with an International Road Assessment Programme (iRAP) safety rating of 3-star or better calculated using the latest version of the iRAP model.</t>
    </r>
  </si>
  <si>
    <t>Table 1a: The number of people killed or seriously injured on the SRN (adjusted for changes in police recording practices), England, annual data, January 2015 to December 2023 [Note 2][Note3]</t>
  </si>
  <si>
    <t>A road period spans five years. The first road period (road period 1) commenced in April 2015 and ended in March 2020. The second road period (road period 2) commenced in April 2020 and ended in March 2025. A black dividing line is used to separate the two road periods.</t>
  </si>
  <si>
    <r>
      <rPr>
        <b/>
        <sz val="12"/>
        <color rgb="FFEA0000"/>
        <rFont val="Calibri"/>
        <family val="2"/>
      </rPr>
      <t xml:space="preserve">National-level target for road period 2: </t>
    </r>
    <r>
      <rPr>
        <sz val="12"/>
        <color rgb="FFEA0000"/>
        <rFont val="Calibri"/>
        <family val="2"/>
      </rPr>
      <t xml:space="preserve"> A reduction in the number of people killed or seriously injured (adjusted figures) of at least 50% by the end of 2025 compared to 2005-09 baseline.</t>
    </r>
  </si>
  <si>
    <t>Table 1a.ii Actual (adjusted)</t>
  </si>
  <si>
    <t>Time period</t>
  </si>
  <si>
    <t xml:space="preserve">England's strategic road network (number) </t>
  </si>
  <si>
    <t>January 2015 to December 2015</t>
  </si>
  <si>
    <t>January 2016 to December 2016</t>
  </si>
  <si>
    <t>January 2017 to December 2017</t>
  </si>
  <si>
    <t>January 2018 to December 2018</t>
  </si>
  <si>
    <t>January 2019 to December 2019</t>
  </si>
  <si>
    <t>January 2020 to December 2020 [Note 1]</t>
  </si>
  <si>
    <t>January 2021 to December 2021 [Note 1]</t>
  </si>
  <si>
    <t>January 2022 to December 2022 [Note 1]</t>
  </si>
  <si>
    <t>January 2023 to December 2023</t>
  </si>
  <si>
    <t>Table 1b:  The total number of people killed or injured on the SRN, England, annual data, January 2015 to December 2023 [Note 3]</t>
  </si>
  <si>
    <t xml:space="preserve">Yorkshire and North East
(Number) </t>
  </si>
  <si>
    <t xml:space="preserve">North West
(Number) </t>
  </si>
  <si>
    <t xml:space="preserve">Midlands
(Number) </t>
  </si>
  <si>
    <t xml:space="preserve">East
(Number) </t>
  </si>
  <si>
    <t xml:space="preserve">South East
(Number) </t>
  </si>
  <si>
    <t xml:space="preserve">South West
(Number) </t>
  </si>
  <si>
    <t>[x]</t>
  </si>
  <si>
    <t>Table 1c:  The number of non-motorised and motorcyclist users killed or injured on the SRN, England, annual data, January 2015 to December 2023 [Note 3]</t>
  </si>
  <si>
    <t>Table 1d: The number of motorcyclists killed or injured on the SRN, England, annual data, January 2015 to December 2023 [Note 3]</t>
  </si>
  <si>
    <t>Table 1e: The number of cyclists killed or injured on the SRN, England, annual data, January 2015 to December 2023 [Note 3]</t>
  </si>
  <si>
    <t>Table 1f: The number of pedestrians killed or injured on the SRN, England, annual data, January 2015 to December 2023 [Note 3]</t>
  </si>
  <si>
    <t>Table 1g: The number of equestrians killed or injured on the SRN, England, annual data, January 2015 to December 2023 [Note 3]</t>
  </si>
  <si>
    <t>January 2020 to December 2020</t>
  </si>
  <si>
    <t>January 2021 to December 2021</t>
  </si>
  <si>
    <t>January 2022 to December 2022</t>
  </si>
  <si>
    <t>Table 1h: The number of injury collisions on the SRN, England, annual data, January 2019 to December 2023 [Note 3]</t>
  </si>
  <si>
    <t>Table 1i: The accident frequency rate for National Highways staff, England, annual data, April 2020 to March 2025 [Note 5][Note 6]</t>
  </si>
  <si>
    <t xml:space="preserve">  National Highways   
(RIDDORs per 100,000 hours worked) </t>
  </si>
  <si>
    <t>Yorkshire and North East
(RIDDORs per 100,000 hours worked)</t>
  </si>
  <si>
    <t>North West
(RIDDORs per 100,000 hours worked)</t>
  </si>
  <si>
    <t>Midlands
(RIDDORs per 100,000 hours worked)</t>
  </si>
  <si>
    <t>East
(RIDDORs per 100,000 hours worked)</t>
  </si>
  <si>
    <t xml:space="preserve">South East
(RIDDORs per 100,000 hours worked) </t>
  </si>
  <si>
    <t xml:space="preserve">South West
(RIDDORs per 100,000 hours worked) </t>
  </si>
  <si>
    <t xml:space="preserve">April 2020 to March 2021 </t>
  </si>
  <si>
    <t>April 2021 to March 2022</t>
  </si>
  <si>
    <t>April 2022 to March 2023</t>
  </si>
  <si>
    <t>April 2023 to March 2024</t>
  </si>
  <si>
    <t>April 2024 to March 2025</t>
  </si>
  <si>
    <t>Table 1j: The accident frequency rate for National Highways supply chain staff, England, annual data, April 2020 to March 2025 [Note 5][Note 6]</t>
  </si>
  <si>
    <t xml:space="preserve">Table 1k: The % of traffic using iRAP 3* or above rated roads, England's strategic road network, annual data, April 2020 to March 2025 [Note 3][Note 4] </t>
  </si>
  <si>
    <t>Some shorthand is used in this table, [x] = not available.</t>
  </si>
  <si>
    <t xml:space="preserve">England's strategic road network (percentage) </t>
  </si>
  <si>
    <t>April 2020 to March 2021</t>
  </si>
  <si>
    <t>CHARTS</t>
  </si>
  <si>
    <t>Year</t>
  </si>
  <si>
    <t xml:space="preserve"> National Highways</t>
  </si>
  <si>
    <t xml:space="preserve"> Yorkshire and North East</t>
  </si>
  <si>
    <t xml:space="preserve"> North West
</t>
  </si>
  <si>
    <t xml:space="preserve"> Midlands
</t>
  </si>
  <si>
    <t xml:space="preserve"> East
</t>
  </si>
  <si>
    <t xml:space="preserve"> South East
</t>
  </si>
  <si>
    <t xml:space="preserve"> South West
</t>
  </si>
  <si>
    <t>2015</t>
  </si>
  <si>
    <t>2016</t>
  </si>
  <si>
    <t>2017</t>
  </si>
  <si>
    <t>2018</t>
  </si>
  <si>
    <t>2019</t>
  </si>
  <si>
    <t>2020</t>
  </si>
  <si>
    <t>2021</t>
  </si>
  <si>
    <t>2022</t>
  </si>
  <si>
    <t>Notes</t>
  </si>
  <si>
    <t>Yorkshire and North East</t>
  </si>
  <si>
    <t>North West</t>
  </si>
  <si>
    <t>Midlands</t>
  </si>
  <si>
    <t>East</t>
  </si>
  <si>
    <t>South East</t>
  </si>
  <si>
    <t>South West</t>
  </si>
  <si>
    <t>National Highways</t>
  </si>
  <si>
    <t>KPI</t>
  </si>
  <si>
    <t>The number of people killed or seriously injured (KSI)</t>
  </si>
  <si>
    <t>Latest year</t>
  </si>
  <si>
    <t>compared to NH</t>
  </si>
  <si>
    <t>max</t>
  </si>
  <si>
    <t>Absolute value</t>
  </si>
  <si>
    <t>min</t>
  </si>
  <si>
    <t>RIDDOR</t>
  </si>
  <si>
    <t>Best performing</t>
  </si>
  <si>
    <t>Fewest casualties</t>
  </si>
  <si>
    <t xml:space="preserve">Fewest collisions </t>
  </si>
  <si>
    <t>Fewest incidents</t>
  </si>
  <si>
    <t>Worst performing</t>
  </si>
  <si>
    <t>Most casualties</t>
  </si>
  <si>
    <t>Most collisions</t>
  </si>
  <si>
    <t>Most incidents</t>
  </si>
  <si>
    <t>E67&amp;" ("&amp;A58&amp;")"</t>
  </si>
  <si>
    <t xml:space="preserve">See notes: </t>
  </si>
  <si>
    <t xml:space="preserve">Note 1 </t>
  </si>
  <si>
    <t>Data for 2021-22 is affected by reduced travel demand due to the impact of the pandemic.</t>
  </si>
  <si>
    <t xml:space="preserve"> "&amp;is&amp;" "&amp;TEXT(K61,0)&amp;"times greater, whilst in "&amp;B68&amp;""&amp;the rate is&amp;""&amp;TEXT(K62 ,0)&amp;""&amp;lower&amp;")</t>
  </si>
  <si>
    <t xml:space="preserve">There were recent changes to how police recorded serious injuries. The change in methodology resulted in 'unadjusted' and 'adjusted' figures. This allowed for continued comparison against historic data. 'Unadjusted' figures are figures which record data using the former methodology. The 'unadjusted' figures allocates a lower severity, in general, to injuries. Therefore, under the new police recording system, more injuries tend to be classified as 'serious'. Whilst the 'adjusted' figures account for the new police recording methodology. </t>
  </si>
  <si>
    <t>This metric includes all trunk roads and motorways forming the SRN, including roads managed by Design, Build, Finance, and Operate (DBFO) organisations.</t>
  </si>
  <si>
    <t xml:space="preserve">This metric is a new metric for road period 2. </t>
  </si>
  <si>
    <t>Note 7</t>
  </si>
  <si>
    <t>Table</t>
  </si>
  <si>
    <t>Time frame</t>
  </si>
  <si>
    <t xml:space="preserve">North West
</t>
  </si>
  <si>
    <t xml:space="preserve">Midlands
</t>
  </si>
  <si>
    <t xml:space="preserve">East
</t>
  </si>
  <si>
    <t xml:space="preserve">South East
</t>
  </si>
  <si>
    <t xml:space="preserve">South West
</t>
  </si>
  <si>
    <t>Total number of people killed or injured</t>
  </si>
  <si>
    <t>The number of non-motorised and motorcyclist users killed or injured</t>
  </si>
  <si>
    <t xml:space="preserve"> The number of motorcyclists killed or injured</t>
  </si>
  <si>
    <t xml:space="preserve"> The number of cyclists killed or injured</t>
  </si>
  <si>
    <t>The number of pedestrians killed or injured</t>
  </si>
  <si>
    <t>The number of equestrians killed or injured</t>
  </si>
  <si>
    <t>The number of injury collisions</t>
  </si>
  <si>
    <t>2020-21</t>
  </si>
  <si>
    <t>The accident frequency rate for National Highways staff</t>
  </si>
  <si>
    <t>2021-22</t>
  </si>
  <si>
    <t>2022-23</t>
  </si>
  <si>
    <t>2023-24</t>
  </si>
  <si>
    <t xml:space="preserve"> The accident frequency rate for National Highways supply chain staff</t>
  </si>
  <si>
    <t>The % of traffic using iRAP 3 or above rated roads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</si>
</sst>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8">
    <numFmt numFmtId="41" formatCode="_-* #,##0_-;\-* #,##0_-;_-* &quot;-&quot;_-;_-@_-"/>
    <numFmt numFmtId="44" formatCode="_-&quot;£&quot;* #,##0.00_-;\-&quot;£&quot;* #,##0.00_-;_-&quot;£&quot;* &quot;-&quot;??_-;_-@_-"/>
    <numFmt numFmtId="43" formatCode="_-* #,##0.00_-;\-* #,##0.00_-;_-* &quot;-&quot;??_-;_-@_-"/>
    <numFmt numFmtId="164" formatCode="0.0%"/>
    <numFmt numFmtId="165" formatCode="0.0"/>
    <numFmt numFmtId="166" formatCode="#,##0.0"/>
    <numFmt numFmtId="167" formatCode="0.0000"/>
    <numFmt numFmtId="168" formatCode="0.000"/>
    <numFmt numFmtId="169" formatCode="&quot;to &quot;0.0000;&quot;to &quot;\-0.0000;&quot;to 0&quot;"/>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0.0_-;\(#,##0.0\);_-* &quot;-&quot;??_-"/>
    <numFmt numFmtId="179" formatCode="_-[$€-2]* #,##0.00_-;\-[$€-2]* #,##0.00_-;_-[$€-2]* &quot;-&quot;??_-"/>
    <numFmt numFmtId="180" formatCode="_-[$£-809]* #,##0.00_-;\-[$£-809]* #,##0.00_-;_-[$£-809]* &quot;-&quot;??_-;_-@_-"/>
    <numFmt numFmtId="181" formatCode="&quot;$&quot;#,##0_);[Red]\(&quot;$&quot;#,##0\)"/>
    <numFmt numFmtId="182" formatCode="#,##0.000"/>
    <numFmt numFmtId="183" formatCode="#,##0;\(#,##0\)"/>
    <numFmt numFmtId="184" formatCode="#,##0.0;\(#,##0.0\)"/>
    <numFmt numFmtId="185" formatCode="#,##0_);[Red]\(#,##0\);_-* &quot;-&quot;??_-;_-@_-"/>
    <numFmt numFmtId="186" formatCode="#,##0;[Red]\(#,##0\)"/>
    <numFmt numFmtId="187" formatCode="#,##0\ \ \ ;\(#,##0\)\ \ "/>
    <numFmt numFmtId="188" formatCode="#,##0_ ;[Red]\(#,##0\)"/>
    <numFmt numFmtId="189" formatCode="#,##0,&quot;m&quot;\ ;\(#,##0,&quot;m&quot;\)"/>
    <numFmt numFmtId="190" formatCode="#,##0;\(##0\)"/>
    <numFmt numFmtId="191" formatCode="#,##0.00;[Red]\(#,##0.00\)"/>
    <numFmt numFmtId="192" formatCode="#,##0_ ;[Red]\(#,##0\);\-\ "/>
    <numFmt numFmtId="193" formatCode="#,##0_);[Red]\(#,##0\);\-_)"/>
    <numFmt numFmtId="194" formatCode="yyyy"/>
    <numFmt numFmtId="195" formatCode="#,##0_);[Red]\(#,##0\);&quot;-&quot;_)"/>
    <numFmt numFmtId="196" formatCode="[$-F800]dddd\,\ mmmm\ dd\,\ yyyy"/>
    <numFmt numFmtId="197" formatCode="[$-F400]h:mm:ss\ AM/PM"/>
    <numFmt numFmtId="198" formatCode="&quot;£&quot;#,##0.00"/>
    <numFmt numFmtId="199" formatCode="_(* #,##0_);_(* \(#,##0\);_(* &quot; - &quot;_);_(@_)"/>
    <numFmt numFmtId="200" formatCode="#,##0_);[Red]\(#,##0\);&quot;-&quot;_);[Blue]&quot;Error-&quot;@"/>
    <numFmt numFmtId="201" formatCode="#,##0.0_);[Red]\(#,##0.0\);&quot;-&quot;_);[Blue]&quot;Error-&quot;@"/>
    <numFmt numFmtId="202" formatCode="#,##0.00_);[Red]\(#,##0.00\);&quot;-&quot;_);[Blue]&quot;Error-&quot;@"/>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dd\ mmm\ yyyy_)"/>
    <numFmt numFmtId="207" formatCode="dd/mm/yy_)"/>
    <numFmt numFmtId="208" formatCode="0%_);[Red]\-0%_);0%_);[Blue]&quot;Error-&quot;@"/>
    <numFmt numFmtId="209" formatCode="0.0%_);[Red]\-0.0%_);0.0%_);[Blue]&quot;Error-&quot;@"/>
    <numFmt numFmtId="210" formatCode="0.00%_);[Red]\-0.00%_);0.00%_);[Blue]&quot;Error-&quot;@"/>
    <numFmt numFmtId="211" formatCode="000"/>
    <numFmt numFmtId="212" formatCode="_(* #,##0_);_(* \(#,##0\);_(* &quot;&quot;\ \-\ &quot;&quot;_);_(@_)"/>
    <numFmt numFmtId="213" formatCode="#,##0.0_);\(#,##0.0\)"/>
    <numFmt numFmtId="214" formatCode="#,##0.0,,_);\(#,##0.0,,\);\-_)"/>
    <numFmt numFmtId="215" formatCode="#,##0_);\(#,##0\);\-_)"/>
    <numFmt numFmtId="216" formatCode="#,##0.0,_);\(#,##0.0,\);\-_)"/>
    <numFmt numFmtId="217" formatCode="#,##0.00_);\(#,##0.00\);\-_)"/>
    <numFmt numFmtId="218" formatCode="####_)"/>
  </numFmts>
  <fonts count="181">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b/>
      <sz val="12"/>
      <color rgb="FF00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2"/>
      <name val="Calibri"/>
      <family val="2"/>
      <scheme val="minor"/>
    </font>
    <font>
      <sz val="12"/>
      <color rgb="FF000000"/>
      <name val="Calibri"/>
      <family val="2"/>
      <scheme val="minor"/>
    </font>
    <font>
      <sz val="12"/>
      <name val="Calibri"/>
      <family val="2"/>
    </font>
    <font>
      <b/>
      <sz val="14"/>
      <name val="Calibri"/>
      <family val="2"/>
    </font>
    <font>
      <sz val="11"/>
      <color rgb="FFFF0000"/>
      <name val="Arial"/>
      <family val="2"/>
    </font>
    <font>
      <sz val="11"/>
      <color rgb="FF000000"/>
      <name val="Arial"/>
      <family val="2"/>
    </font>
    <font>
      <sz val="8"/>
      <name val="Calibri"/>
      <family val="2"/>
    </font>
    <font>
      <b/>
      <sz val="12"/>
      <name val="Calibri"/>
      <family val="2"/>
    </font>
    <font>
      <b/>
      <sz val="11"/>
      <color rgb="FF000000"/>
      <name val="Calibri"/>
      <family val="2"/>
    </font>
    <font>
      <sz val="10"/>
      <color rgb="FF000000"/>
      <name val="Calibri"/>
      <family val="2"/>
    </font>
    <font>
      <sz val="12"/>
      <color rgb="FFEA0000"/>
      <name val="Calibri"/>
      <family val="2"/>
    </font>
    <font>
      <b/>
      <sz val="12"/>
      <color rgb="FFEA0000"/>
      <name val="Calibri"/>
      <family val="2"/>
    </font>
    <font>
      <b/>
      <sz val="11"/>
      <name val="Calibri"/>
      <family val="2"/>
    </font>
    <font>
      <sz val="11"/>
      <name val="Calibri"/>
      <family val="2"/>
    </font>
    <font>
      <b/>
      <sz val="10"/>
      <color theme="0"/>
      <name val="Calibri"/>
      <family val="2"/>
    </font>
    <font>
      <sz val="11"/>
      <color theme="6"/>
      <name val="Calibri"/>
      <family val="2"/>
    </font>
    <font>
      <sz val="12"/>
      <color rgb="FFFF0000"/>
      <name val="Calibri"/>
      <family val="2"/>
    </font>
    <font>
      <sz val="12"/>
      <color theme="1"/>
      <name val="Calibri"/>
      <family val="2"/>
    </font>
    <font>
      <sz val="11"/>
      <color rgb="FFFF0000"/>
      <name val="Calibri"/>
      <family val="2"/>
    </font>
  </fonts>
  <fills count="11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
      <patternFill patternType="solid">
        <fgColor rgb="FFFFFF00"/>
        <bgColor indexed="64"/>
      </patternFill>
    </fill>
    <fill>
      <patternFill patternType="solid">
        <fgColor theme="4"/>
        <bgColor theme="4"/>
      </patternFill>
    </fill>
  </fills>
  <borders count="72">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top/>
      <bottom style="thick">
        <color indexed="64"/>
      </bottom>
      <diagonal/>
    </border>
    <border>
      <left/>
      <right/>
      <top style="thick">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thick">
        <color indexed="64"/>
      </right>
      <top/>
      <bottom/>
      <diagonal/>
    </border>
    <border>
      <left/>
      <right style="thick">
        <color indexed="64"/>
      </right>
      <top style="thick">
        <color indexed="64"/>
      </top>
      <bottom/>
      <diagonal/>
    </border>
    <border>
      <left/>
      <right style="thick">
        <color indexed="64"/>
      </right>
      <top/>
      <bottom style="thick">
        <color indexed="64"/>
      </bottom>
      <diagonal/>
    </border>
    <border>
      <left style="thick">
        <color indexed="64"/>
      </left>
      <right/>
      <top/>
      <bottom style="thick">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right style="medium">
        <color indexed="64"/>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top style="thin">
        <color indexed="64"/>
      </top>
      <bottom/>
      <diagonal/>
    </border>
    <border>
      <left style="thick">
        <color indexed="64"/>
      </left>
      <right/>
      <top/>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1" fillId="0" borderId="0" applyNumberFormat="0" applyFill="0" applyBorder="0" applyAlignment="0" applyProtection="0"/>
    <xf numFmtId="0" fontId="12" fillId="0" borderId="0"/>
    <xf numFmtId="43" fontId="1" fillId="0" borderId="0" applyFont="0" applyFill="0" applyBorder="0" applyAlignment="0" applyProtection="0"/>
    <xf numFmtId="0" fontId="1" fillId="0" borderId="0"/>
    <xf numFmtId="0" fontId="16" fillId="0" borderId="0"/>
    <xf numFmtId="44" fontId="1"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8" fillId="0" borderId="0"/>
    <xf numFmtId="0" fontId="18" fillId="0" borderId="0"/>
    <xf numFmtId="0" fontId="18" fillId="0" borderId="0"/>
    <xf numFmtId="0" fontId="18" fillId="0" borderId="0"/>
    <xf numFmtId="0" fontId="19" fillId="0" borderId="11" applyNumberFormat="0" applyFill="0" applyProtection="0">
      <alignment horizontal="center"/>
    </xf>
    <xf numFmtId="165" fontId="18" fillId="0" borderId="0" applyFont="0" applyFill="0" applyBorder="0" applyProtection="0">
      <alignment horizontal="right"/>
    </xf>
    <xf numFmtId="165" fontId="18" fillId="0" borderId="0" applyFont="0" applyFill="0" applyBorder="0" applyProtection="0">
      <alignment horizontal="right"/>
    </xf>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168" fontId="18" fillId="0" borderId="0" applyFont="0" applyFill="0" applyBorder="0" applyProtection="0">
      <alignment horizontal="right"/>
    </xf>
    <xf numFmtId="168" fontId="18" fillId="0" borderId="0" applyFont="0" applyFill="0" applyBorder="0" applyProtection="0">
      <alignment horizontal="right"/>
    </xf>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35"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167" fontId="18" fillId="0" borderId="0" applyFont="0" applyFill="0" applyBorder="0" applyProtection="0">
      <alignment horizontal="right"/>
    </xf>
    <xf numFmtId="167" fontId="18" fillId="0" borderId="0" applyFont="0" applyFill="0" applyBorder="0" applyProtection="0">
      <alignment horizontal="right"/>
    </xf>
    <xf numFmtId="0" fontId="36" fillId="42"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43" borderId="0" applyNumberFormat="0" applyBorder="0" applyAlignment="0" applyProtection="0"/>
    <xf numFmtId="0" fontId="36" fillId="45" borderId="0" applyNumberFormat="0" applyBorder="0" applyAlignment="0" applyProtection="0"/>
    <xf numFmtId="0" fontId="36" fillId="50" borderId="0" applyNumberFormat="0" applyBorder="0" applyAlignment="0" applyProtection="0"/>
    <xf numFmtId="0" fontId="37" fillId="33" borderId="0" applyNumberFormat="0" applyBorder="0" applyAlignment="0" applyProtection="0"/>
    <xf numFmtId="178" fontId="18" fillId="0" borderId="0" applyBorder="0"/>
    <xf numFmtId="0" fontId="38" fillId="51" borderId="12" applyNumberFormat="0" applyAlignment="0" applyProtection="0"/>
    <xf numFmtId="0" fontId="39" fillId="52" borderId="13" applyNumberFormat="0" applyAlignment="0" applyProtection="0"/>
    <xf numFmtId="167" fontId="20" fillId="0" borderId="0" applyFont="0" applyFill="0" applyBorder="0" applyProtection="0">
      <alignment horizontal="right"/>
    </xf>
    <xf numFmtId="169" fontId="20" fillId="0" borderId="0" applyFont="0" applyFill="0" applyBorder="0" applyProtection="0">
      <alignment horizontal="left"/>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52" fillId="0" borderId="14" applyNumberFormat="0" applyBorder="0" applyAlignment="0" applyProtection="0">
      <alignment horizontal="right" vertical="center"/>
    </xf>
    <xf numFmtId="179" fontId="18" fillId="0" borderId="0" applyFont="0" applyFill="0" applyBorder="0" applyAlignment="0" applyProtection="0"/>
    <xf numFmtId="0" fontId="40" fillId="0" borderId="0" applyNumberFormat="0" applyFill="0" applyBorder="0" applyAlignment="0" applyProtection="0"/>
    <xf numFmtId="0" fontId="53" fillId="0" borderId="0">
      <alignment horizontal="right"/>
      <protection locked="0"/>
    </xf>
    <xf numFmtId="0" fontId="21" fillId="0" borderId="0">
      <alignment horizontal="left"/>
    </xf>
    <xf numFmtId="0" fontId="22" fillId="0" borderId="0">
      <alignment horizontal="left"/>
    </xf>
    <xf numFmtId="0" fontId="18" fillId="0" borderId="0" applyFont="0" applyFill="0" applyBorder="0" applyProtection="0">
      <alignment horizontal="right"/>
    </xf>
    <xf numFmtId="0" fontId="18" fillId="0" borderId="0" applyFont="0" applyFill="0" applyBorder="0" applyProtection="0">
      <alignment horizontal="right"/>
    </xf>
    <xf numFmtId="0" fontId="41" fillId="34" borderId="0" applyNumberFormat="0" applyBorder="0" applyAlignment="0" applyProtection="0"/>
    <xf numFmtId="38" fontId="13" fillId="53" borderId="0" applyNumberFormat="0" applyBorder="0" applyAlignment="0" applyProtection="0"/>
    <xf numFmtId="0" fontId="23" fillId="54" borderId="15" applyProtection="0">
      <alignment horizontal="right"/>
    </xf>
    <xf numFmtId="0" fontId="24" fillId="54" borderId="0" applyProtection="0">
      <alignment horizontal="left"/>
    </xf>
    <xf numFmtId="0" fontId="42" fillId="0" borderId="16" applyNumberFormat="0" applyFill="0" applyAlignment="0" applyProtection="0"/>
    <xf numFmtId="0" fontId="54" fillId="0" borderId="0">
      <alignment vertical="top" wrapText="1"/>
    </xf>
    <xf numFmtId="0" fontId="54" fillId="0" borderId="0">
      <alignment vertical="top" wrapText="1"/>
    </xf>
    <xf numFmtId="0" fontId="54" fillId="0" borderId="0">
      <alignment vertical="top" wrapText="1"/>
    </xf>
    <xf numFmtId="0" fontId="54" fillId="0" borderId="0">
      <alignment vertical="top" wrapText="1"/>
    </xf>
    <xf numFmtId="0" fontId="43" fillId="0" borderId="17" applyNumberFormat="0" applyFill="0" applyAlignment="0" applyProtection="0"/>
    <xf numFmtId="170" fontId="55" fillId="0" borderId="0" applyNumberFormat="0" applyFill="0" applyAlignment="0" applyProtection="0"/>
    <xf numFmtId="0" fontId="44" fillId="0" borderId="18" applyNumberFormat="0" applyFill="0" applyAlignment="0" applyProtection="0"/>
    <xf numFmtId="170" fontId="56" fillId="0" borderId="0" applyNumberFormat="0" applyFill="0" applyAlignment="0" applyProtection="0"/>
    <xf numFmtId="0" fontId="44" fillId="0" borderId="0" applyNumberFormat="0" applyFill="0" applyBorder="0" applyAlignment="0" applyProtection="0"/>
    <xf numFmtId="170" fontId="57" fillId="0" borderId="0" applyNumberFormat="0" applyFill="0" applyAlignment="0" applyProtection="0"/>
    <xf numFmtId="170" fontId="25" fillId="0" borderId="0" applyNumberFormat="0" applyFill="0" applyAlignment="0" applyProtection="0"/>
    <xf numFmtId="170" fontId="26" fillId="0" borderId="0" applyNumberFormat="0" applyFill="0" applyAlignment="0" applyProtection="0"/>
    <xf numFmtId="170" fontId="26" fillId="0" borderId="0" applyNumberFormat="0" applyFont="0" applyFill="0" applyBorder="0" applyAlignment="0" applyProtection="0"/>
    <xf numFmtId="170" fontId="26" fillId="0" borderId="0" applyNumberFormat="0" applyFont="0" applyFill="0" applyBorder="0" applyAlignment="0" applyProtection="0"/>
    <xf numFmtId="0" fontId="74"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27" fillId="0" borderId="0" applyFill="0" applyBorder="0" applyProtection="0">
      <alignment horizontal="left"/>
    </xf>
    <xf numFmtId="10" fontId="13" fillId="55" borderId="9" applyNumberFormat="0" applyBorder="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23" fillId="0" borderId="19" applyProtection="0">
      <alignment horizontal="right"/>
    </xf>
    <xf numFmtId="0" fontId="23" fillId="0" borderId="15" applyProtection="0">
      <alignment horizontal="right"/>
    </xf>
    <xf numFmtId="0" fontId="23" fillId="0" borderId="20" applyProtection="0">
      <alignment horizontal="center"/>
      <protection locked="0"/>
    </xf>
    <xf numFmtId="0" fontId="46" fillId="0" borderId="21" applyNumberFormat="0" applyFill="0" applyAlignment="0" applyProtection="0"/>
    <xf numFmtId="0" fontId="18" fillId="0" borderId="0"/>
    <xf numFmtId="0" fontId="18" fillId="0" borderId="0"/>
    <xf numFmtId="0" fontId="18" fillId="0" borderId="0"/>
    <xf numFmtId="1" fontId="18" fillId="0" borderId="0" applyFont="0" applyFill="0" applyBorder="0" applyProtection="0">
      <alignment horizontal="right"/>
    </xf>
    <xf numFmtId="1" fontId="18" fillId="0" borderId="0" applyFont="0" applyFill="0" applyBorder="0" applyProtection="0">
      <alignment horizontal="right"/>
    </xf>
    <xf numFmtId="0" fontId="47" fillId="44"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xf numFmtId="0" fontId="17"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56" borderId="22" applyNumberFormat="0" applyFont="0" applyAlignment="0" applyProtection="0"/>
    <xf numFmtId="0" fontId="48" fillId="51" borderId="23" applyNumberFormat="0" applyAlignment="0" applyProtection="0"/>
    <xf numFmtId="40" fontId="60" fillId="57" borderId="0">
      <alignment horizontal="right"/>
    </xf>
    <xf numFmtId="0" fontId="61" fillId="57" borderId="0">
      <alignment horizontal="right"/>
    </xf>
    <xf numFmtId="0" fontId="62" fillId="57" borderId="24"/>
    <xf numFmtId="0" fontId="62" fillId="0" borderId="0" applyBorder="0">
      <alignment horizontal="centerContinuous"/>
    </xf>
    <xf numFmtId="0" fontId="63" fillId="0" borderId="0" applyBorder="0">
      <alignment horizontal="centerContinuous"/>
    </xf>
    <xf numFmtId="171" fontId="18" fillId="0" borderId="0" applyFont="0" applyFill="0" applyBorder="0" applyProtection="0">
      <alignment horizontal="right"/>
    </xf>
    <xf numFmtId="171" fontId="18" fillId="0" borderId="0" applyFont="0" applyFill="0" applyBorder="0" applyProtection="0">
      <alignment horizontal="right"/>
    </xf>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8" fillId="0" borderId="0"/>
    <xf numFmtId="2" fontId="64" fillId="58" borderId="10" applyAlignment="0" applyProtection="0">
      <protection locked="0"/>
    </xf>
    <xf numFmtId="0" fontId="65" fillId="55" borderId="10" applyNumberFormat="0" applyAlignment="0" applyProtection="0"/>
    <xf numFmtId="0" fontId="66" fillId="59" borderId="9" applyNumberFormat="0" applyAlignment="0" applyProtection="0">
      <alignment horizontal="center" vertical="center"/>
    </xf>
    <xf numFmtId="4" fontId="28" fillId="60" borderId="23" applyNumberFormat="0" applyProtection="0">
      <alignment vertical="center"/>
    </xf>
    <xf numFmtId="4" fontId="67" fillId="60" borderId="23" applyNumberFormat="0" applyProtection="0">
      <alignment vertical="center"/>
    </xf>
    <xf numFmtId="4" fontId="28" fillId="60" borderId="23" applyNumberFormat="0" applyProtection="0">
      <alignment horizontal="left" vertical="center" indent="1"/>
    </xf>
    <xf numFmtId="4" fontId="28" fillId="60" borderId="23" applyNumberFormat="0" applyProtection="0">
      <alignment horizontal="left" vertical="center" indent="1"/>
    </xf>
    <xf numFmtId="0" fontId="18" fillId="61" borderId="23" applyNumberFormat="0" applyProtection="0">
      <alignment horizontal="left" vertical="center" indent="1"/>
    </xf>
    <xf numFmtId="4" fontId="28" fillId="62" borderId="23" applyNumberFormat="0" applyProtection="0">
      <alignment horizontal="right" vertical="center"/>
    </xf>
    <xf numFmtId="4" fontId="28" fillId="63" borderId="23" applyNumberFormat="0" applyProtection="0">
      <alignment horizontal="right" vertical="center"/>
    </xf>
    <xf numFmtId="4" fontId="28" fillId="64" borderId="23" applyNumberFormat="0" applyProtection="0">
      <alignment horizontal="right" vertical="center"/>
    </xf>
    <xf numFmtId="4" fontId="28" fillId="65" borderId="23" applyNumberFormat="0" applyProtection="0">
      <alignment horizontal="right" vertical="center"/>
    </xf>
    <xf numFmtId="4" fontId="28" fillId="66" borderId="23" applyNumberFormat="0" applyProtection="0">
      <alignment horizontal="right" vertical="center"/>
    </xf>
    <xf numFmtId="4" fontId="28" fillId="67" borderId="23" applyNumberFormat="0" applyProtection="0">
      <alignment horizontal="right" vertical="center"/>
    </xf>
    <xf numFmtId="4" fontId="28" fillId="68" borderId="23" applyNumberFormat="0" applyProtection="0">
      <alignment horizontal="right" vertical="center"/>
    </xf>
    <xf numFmtId="4" fontId="28" fillId="69" borderId="23" applyNumberFormat="0" applyProtection="0">
      <alignment horizontal="right" vertical="center"/>
    </xf>
    <xf numFmtId="4" fontId="28" fillId="70" borderId="23" applyNumberFormat="0" applyProtection="0">
      <alignment horizontal="right" vertical="center"/>
    </xf>
    <xf numFmtId="4" fontId="68" fillId="71" borderId="23" applyNumberFormat="0" applyProtection="0">
      <alignment horizontal="left" vertical="center" indent="1"/>
    </xf>
    <xf numFmtId="4" fontId="28" fillId="72" borderId="25" applyNumberFormat="0" applyProtection="0">
      <alignment horizontal="left" vertical="center" indent="1"/>
    </xf>
    <xf numFmtId="4" fontId="69" fillId="73" borderId="0" applyNumberFormat="0" applyProtection="0">
      <alignment horizontal="left" vertical="center" indent="1"/>
    </xf>
    <xf numFmtId="0" fontId="18" fillId="61" borderId="23" applyNumberFormat="0" applyProtection="0">
      <alignment horizontal="left" vertical="center" indent="1"/>
    </xf>
    <xf numFmtId="4" fontId="28" fillId="72" borderId="23" applyNumberFormat="0" applyProtection="0">
      <alignment horizontal="left" vertical="center" indent="1"/>
    </xf>
    <xf numFmtId="4" fontId="28" fillId="74" borderId="23" applyNumberFormat="0" applyProtection="0">
      <alignment horizontal="left" vertical="center" indent="1"/>
    </xf>
    <xf numFmtId="0" fontId="18" fillId="74" borderId="23" applyNumberFormat="0" applyProtection="0">
      <alignment horizontal="left" vertical="center" indent="1"/>
    </xf>
    <xf numFmtId="0" fontId="18" fillId="74" borderId="23" applyNumberFormat="0" applyProtection="0">
      <alignment horizontal="left" vertical="center" indent="1"/>
    </xf>
    <xf numFmtId="0" fontId="18" fillId="59" borderId="23" applyNumberFormat="0" applyProtection="0">
      <alignment horizontal="left" vertical="center" indent="1"/>
    </xf>
    <xf numFmtId="0" fontId="18" fillId="59" borderId="23" applyNumberFormat="0" applyProtection="0">
      <alignment horizontal="left" vertical="center" indent="1"/>
    </xf>
    <xf numFmtId="0" fontId="18" fillId="53" borderId="23" applyNumberFormat="0" applyProtection="0">
      <alignment horizontal="left" vertical="center" indent="1"/>
    </xf>
    <xf numFmtId="0" fontId="18" fillId="53" borderId="23" applyNumberFormat="0" applyProtection="0">
      <alignment horizontal="left" vertical="center" indent="1"/>
    </xf>
    <xf numFmtId="0" fontId="18" fillId="61" borderId="23" applyNumberFormat="0" applyProtection="0">
      <alignment horizontal="left" vertical="center" indent="1"/>
    </xf>
    <xf numFmtId="0" fontId="18" fillId="61" borderId="23" applyNumberFormat="0" applyProtection="0">
      <alignment horizontal="left" vertical="center" indent="1"/>
    </xf>
    <xf numFmtId="4" fontId="28" fillId="55" borderId="23" applyNumberFormat="0" applyProtection="0">
      <alignment vertical="center"/>
    </xf>
    <xf numFmtId="4" fontId="67" fillId="55" borderId="23" applyNumberFormat="0" applyProtection="0">
      <alignment vertical="center"/>
    </xf>
    <xf numFmtId="4" fontId="28" fillId="55" borderId="23" applyNumberFormat="0" applyProtection="0">
      <alignment horizontal="left" vertical="center" indent="1"/>
    </xf>
    <xf numFmtId="4" fontId="28" fillId="55" borderId="23" applyNumberFormat="0" applyProtection="0">
      <alignment horizontal="left" vertical="center" indent="1"/>
    </xf>
    <xf numFmtId="4" fontId="28" fillId="72" borderId="23" applyNumberFormat="0" applyProtection="0">
      <alignment horizontal="right" vertical="center"/>
    </xf>
    <xf numFmtId="4" fontId="67" fillId="72" borderId="23" applyNumberFormat="0" applyProtection="0">
      <alignment horizontal="right" vertical="center"/>
    </xf>
    <xf numFmtId="0" fontId="18" fillId="61" borderId="23" applyNumberFormat="0" applyProtection="0">
      <alignment horizontal="left" vertical="center" indent="1"/>
    </xf>
    <xf numFmtId="0" fontId="18" fillId="61" borderId="23" applyNumberFormat="0" applyProtection="0">
      <alignment horizontal="left" vertical="center" indent="1"/>
    </xf>
    <xf numFmtId="0" fontId="70" fillId="0" borderId="0"/>
    <xf numFmtId="4" fontId="71" fillId="72" borderId="23" applyNumberFormat="0" applyProtection="0">
      <alignment horizontal="right" vertical="center"/>
    </xf>
    <xf numFmtId="0" fontId="18" fillId="0" borderId="0"/>
    <xf numFmtId="0" fontId="29" fillId="57" borderId="8">
      <alignment horizontal="center"/>
    </xf>
    <xf numFmtId="3" fontId="30" fillId="57" borderId="0"/>
    <xf numFmtId="3" fontId="29" fillId="57" borderId="0"/>
    <xf numFmtId="0" fontId="30" fillId="57" borderId="0"/>
    <xf numFmtId="0" fontId="29" fillId="57" borderId="0"/>
    <xf numFmtId="0" fontId="30" fillId="57" borderId="0">
      <alignment horizontal="center"/>
    </xf>
    <xf numFmtId="0" fontId="31" fillId="0" borderId="0">
      <alignment wrapText="1"/>
    </xf>
    <xf numFmtId="0" fontId="31" fillId="0" borderId="0">
      <alignment wrapText="1"/>
    </xf>
    <xf numFmtId="0" fontId="31" fillId="0" borderId="0">
      <alignment wrapText="1"/>
    </xf>
    <xf numFmtId="0" fontId="31" fillId="0" borderId="0">
      <alignment wrapText="1"/>
    </xf>
    <xf numFmtId="0" fontId="32" fillId="75" borderId="0">
      <alignment horizontal="right" vertical="top" wrapText="1"/>
    </xf>
    <xf numFmtId="0" fontId="32" fillId="75" borderId="0">
      <alignment horizontal="right" vertical="top" wrapText="1"/>
    </xf>
    <xf numFmtId="0" fontId="32" fillId="75" borderId="0">
      <alignment horizontal="right" vertical="top" wrapText="1"/>
    </xf>
    <xf numFmtId="0" fontId="32" fillId="75" borderId="0">
      <alignment horizontal="right" vertical="top" wrapText="1"/>
    </xf>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5" fillId="0" borderId="0"/>
    <xf numFmtId="0" fontId="35" fillId="0" borderId="0"/>
    <xf numFmtId="0" fontId="35" fillId="0" borderId="0"/>
    <xf numFmtId="172" fontId="13" fillId="0" borderId="0">
      <alignment wrapText="1"/>
      <protection locked="0"/>
    </xf>
    <xf numFmtId="172" fontId="13" fillId="0" borderId="0">
      <alignment wrapText="1"/>
      <protection locked="0"/>
    </xf>
    <xf numFmtId="172" fontId="32" fillId="76" borderId="0">
      <alignment wrapText="1"/>
      <protection locked="0"/>
    </xf>
    <xf numFmtId="172" fontId="32" fillId="76" borderId="0">
      <alignment wrapText="1"/>
      <protection locked="0"/>
    </xf>
    <xf numFmtId="172" fontId="32" fillId="76" borderId="0">
      <alignment wrapText="1"/>
      <protection locked="0"/>
    </xf>
    <xf numFmtId="172" fontId="32" fillId="76" borderId="0">
      <alignment wrapText="1"/>
      <protection locked="0"/>
    </xf>
    <xf numFmtId="172" fontId="13" fillId="0" borderId="0">
      <alignment wrapText="1"/>
      <protection locked="0"/>
    </xf>
    <xf numFmtId="173" fontId="13" fillId="0" borderId="0">
      <alignment wrapText="1"/>
      <protection locked="0"/>
    </xf>
    <xf numFmtId="173" fontId="13" fillId="0" borderId="0">
      <alignment wrapText="1"/>
      <protection locked="0"/>
    </xf>
    <xf numFmtId="173" fontId="13" fillId="0" borderId="0">
      <alignment wrapText="1"/>
      <protection locked="0"/>
    </xf>
    <xf numFmtId="173" fontId="32" fillId="76" borderId="0">
      <alignment wrapText="1"/>
      <protection locked="0"/>
    </xf>
    <xf numFmtId="173" fontId="32" fillId="76" borderId="0">
      <alignment wrapText="1"/>
      <protection locked="0"/>
    </xf>
    <xf numFmtId="173" fontId="32" fillId="76" borderId="0">
      <alignment wrapText="1"/>
      <protection locked="0"/>
    </xf>
    <xf numFmtId="173" fontId="32" fillId="76" borderId="0">
      <alignment wrapText="1"/>
      <protection locked="0"/>
    </xf>
    <xf numFmtId="173" fontId="32" fillId="76" borderId="0">
      <alignment wrapText="1"/>
      <protection locked="0"/>
    </xf>
    <xf numFmtId="173" fontId="13" fillId="0" borderId="0">
      <alignment wrapText="1"/>
      <protection locked="0"/>
    </xf>
    <xf numFmtId="174" fontId="13" fillId="0" borderId="0">
      <alignment wrapText="1"/>
      <protection locked="0"/>
    </xf>
    <xf numFmtId="174" fontId="13" fillId="0" borderId="0">
      <alignment wrapText="1"/>
      <protection locked="0"/>
    </xf>
    <xf numFmtId="174" fontId="32" fillId="76" borderId="0">
      <alignment wrapText="1"/>
      <protection locked="0"/>
    </xf>
    <xf numFmtId="174" fontId="32" fillId="76" borderId="0">
      <alignment wrapText="1"/>
      <protection locked="0"/>
    </xf>
    <xf numFmtId="174" fontId="32" fillId="76" borderId="0">
      <alignment wrapText="1"/>
      <protection locked="0"/>
    </xf>
    <xf numFmtId="174" fontId="32" fillId="76" borderId="0">
      <alignment wrapText="1"/>
      <protection locked="0"/>
    </xf>
    <xf numFmtId="174" fontId="13" fillId="0" borderId="0">
      <alignment wrapText="1"/>
      <protection locked="0"/>
    </xf>
    <xf numFmtId="175" fontId="32" fillId="75" borderId="26">
      <alignment wrapText="1"/>
    </xf>
    <xf numFmtId="175" fontId="32" fillId="75" borderId="26">
      <alignment wrapText="1"/>
    </xf>
    <xf numFmtId="175"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7" fontId="32" fillId="75" borderId="26">
      <alignment wrapText="1"/>
    </xf>
    <xf numFmtId="177" fontId="32" fillId="75" borderId="26">
      <alignment wrapText="1"/>
    </xf>
    <xf numFmtId="177" fontId="32" fillId="75" borderId="26">
      <alignment wrapText="1"/>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40" fontId="72" fillId="0" borderId="0"/>
    <xf numFmtId="0" fontId="49" fillId="0" borderId="0" applyNumberFormat="0" applyFill="0" applyBorder="0" applyAlignment="0" applyProtection="0"/>
    <xf numFmtId="0" fontId="73" fillId="0" borderId="0" applyNumberFormat="0" applyFill="0" applyBorder="0" applyProtection="0">
      <alignment horizontal="left" vertical="center" indent="10"/>
    </xf>
    <xf numFmtId="0" fontId="73" fillId="0" borderId="0" applyNumberFormat="0" applyFill="0" applyBorder="0" applyProtection="0">
      <alignment horizontal="left" vertical="center" indent="10"/>
    </xf>
    <xf numFmtId="0" fontId="50" fillId="0" borderId="28" applyNumberFormat="0" applyFill="0" applyAlignment="0" applyProtection="0"/>
    <xf numFmtId="0" fontId="51" fillId="0" borderId="0" applyNumberFormat="0" applyFill="0" applyBorder="0" applyAlignment="0" applyProtection="0"/>
    <xf numFmtId="0" fontId="13"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3" fontId="1"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182" fontId="18" fillId="0" borderId="0" applyNumberFormat="0" applyFont="0" applyBorder="0" applyAlignment="0">
      <alignment horizontal="right" indent="1"/>
    </xf>
    <xf numFmtId="182" fontId="18" fillId="0" borderId="0" applyNumberFormat="0" applyFont="0" applyBorder="0" applyAlignment="0">
      <alignment horizontal="right" indent="1"/>
    </xf>
    <xf numFmtId="0" fontId="17" fillId="36"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77" borderId="0" applyNumberFormat="0" applyBorder="0" applyAlignment="0" applyProtection="0"/>
    <xf numFmtId="0" fontId="36" fillId="77" borderId="0" applyNumberFormat="0" applyBorder="0" applyAlignment="0" applyProtection="0"/>
    <xf numFmtId="0" fontId="36" fillId="78" borderId="0" applyNumberFormat="0" applyBorder="0" applyAlignment="0" applyProtection="0"/>
    <xf numFmtId="0" fontId="36" fillId="78"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18" fillId="79" borderId="32"/>
    <xf numFmtId="0" fontId="18" fillId="79" borderId="32"/>
    <xf numFmtId="0" fontId="18" fillId="79" borderId="32"/>
    <xf numFmtId="0" fontId="18" fillId="79" borderId="32"/>
    <xf numFmtId="0" fontId="18" fillId="79" borderId="32"/>
    <xf numFmtId="195" fontId="18" fillId="0" borderId="0">
      <protection locked="0"/>
    </xf>
    <xf numFmtId="195" fontId="18" fillId="0" borderId="33">
      <protection locked="0"/>
    </xf>
    <xf numFmtId="10" fontId="18" fillId="57" borderId="9">
      <alignment horizontal="right"/>
    </xf>
    <xf numFmtId="183" fontId="18" fillId="57" borderId="0"/>
    <xf numFmtId="182" fontId="18" fillId="0" borderId="10"/>
    <xf numFmtId="184" fontId="78" fillId="80" borderId="9"/>
    <xf numFmtId="183" fontId="18" fillId="80" borderId="9"/>
    <xf numFmtId="183" fontId="18" fillId="80" borderId="9"/>
    <xf numFmtId="183" fontId="18" fillId="80" borderId="9"/>
    <xf numFmtId="183" fontId="18" fillId="80" borderId="9"/>
    <xf numFmtId="183" fontId="18" fillId="80" borderId="9"/>
    <xf numFmtId="184" fontId="78" fillId="80" borderId="9"/>
    <xf numFmtId="184" fontId="78" fillId="80" borderId="9"/>
    <xf numFmtId="184" fontId="78" fillId="80" borderId="9"/>
    <xf numFmtId="184" fontId="78" fillId="80" borderId="9"/>
    <xf numFmtId="184" fontId="78" fillId="80" borderId="9"/>
    <xf numFmtId="0" fontId="78" fillId="53" borderId="9" applyAlignment="0"/>
    <xf numFmtId="182" fontId="79" fillId="64" borderId="0"/>
    <xf numFmtId="185" fontId="18" fillId="0" borderId="9">
      <alignment horizontal="center"/>
    </xf>
    <xf numFmtId="185" fontId="18" fillId="0" borderId="9">
      <alignment horizontal="center"/>
    </xf>
    <xf numFmtId="185" fontId="18" fillId="0" borderId="9">
      <alignment horizontal="center"/>
    </xf>
    <xf numFmtId="185" fontId="18" fillId="0" borderId="9">
      <alignment horizontal="center"/>
    </xf>
    <xf numFmtId="185" fontId="18" fillId="0" borderId="9">
      <alignment horizontal="center"/>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41"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3" fontId="80" fillId="60" borderId="9"/>
    <xf numFmtId="15" fontId="18" fillId="0" borderId="0"/>
    <xf numFmtId="15" fontId="18" fillId="0" borderId="0"/>
    <xf numFmtId="15" fontId="18" fillId="0" borderId="0"/>
    <xf numFmtId="15" fontId="18" fillId="0" borderId="0"/>
    <xf numFmtId="15" fontId="18" fillId="0" borderId="0"/>
    <xf numFmtId="15" fontId="18" fillId="0" borderId="0">
      <alignment horizontal="right" indent="1"/>
    </xf>
    <xf numFmtId="17" fontId="18" fillId="0" borderId="0">
      <alignment horizontal="right" indent="1"/>
    </xf>
    <xf numFmtId="194" fontId="18" fillId="0" borderId="0">
      <alignment horizontal="right" indent="1"/>
    </xf>
    <xf numFmtId="0" fontId="76" fillId="0" borderId="0" applyNumberFormat="0" applyFill="0" applyBorder="0" applyAlignment="0" applyProtection="0"/>
    <xf numFmtId="183" fontId="78" fillId="82" borderId="9">
      <alignment horizontal="center"/>
    </xf>
    <xf numFmtId="184" fontId="80" fillId="82" borderId="9"/>
    <xf numFmtId="187" fontId="78" fillId="70" borderId="9" applyNumberFormat="0" applyFont="0" applyBorder="0" applyAlignment="0"/>
    <xf numFmtId="40" fontId="82" fillId="55" borderId="0" applyNumberFormat="0" applyBorder="0" applyAlignment="0" applyProtection="0"/>
    <xf numFmtId="0" fontId="18" fillId="0" borderId="0" applyNumberFormat="0" applyFont="0" applyFill="0" applyBorder="0" applyAlignment="0">
      <alignment horizontal="center"/>
    </xf>
    <xf numFmtId="0" fontId="18" fillId="0" borderId="0" applyNumberFormat="0" applyFont="0" applyFill="0" applyBorder="0" applyAlignment="0">
      <alignment horizontal="center"/>
    </xf>
    <xf numFmtId="0" fontId="18" fillId="0" borderId="0" applyNumberFormat="0" applyFont="0" applyFill="0" applyBorder="0" applyAlignment="0">
      <alignment horizontal="center"/>
    </xf>
    <xf numFmtId="0" fontId="18" fillId="0" borderId="0" applyNumberFormat="0" applyFont="0" applyFill="0" applyBorder="0" applyAlignment="0">
      <alignment horizontal="center"/>
    </xf>
    <xf numFmtId="0" fontId="18" fillId="0" borderId="0" applyNumberFormat="0" applyFont="0" applyFill="0" applyBorder="0" applyAlignment="0">
      <alignment horizontal="center"/>
    </xf>
    <xf numFmtId="0" fontId="83" fillId="39" borderId="0" applyNumberFormat="0" applyBorder="0" applyAlignment="0" applyProtection="0"/>
    <xf numFmtId="0" fontId="83" fillId="39" borderId="0" applyNumberFormat="0" applyBorder="0" applyAlignment="0" applyProtection="0"/>
    <xf numFmtId="0" fontId="84" fillId="0" borderId="0">
      <alignment horizontal="left" vertical="top"/>
    </xf>
    <xf numFmtId="0" fontId="85" fillId="0" borderId="0">
      <alignment horizontal="left" vertical="top"/>
    </xf>
    <xf numFmtId="0" fontId="100" fillId="0" borderId="0"/>
    <xf numFmtId="0" fontId="101" fillId="0" borderId="0"/>
    <xf numFmtId="0" fontId="86" fillId="74" borderId="0" applyNumberFormat="0"/>
    <xf numFmtId="0" fontId="86" fillId="74" borderId="0" applyNumberFormat="0"/>
    <xf numFmtId="0" fontId="55" fillId="53" borderId="0"/>
    <xf numFmtId="0" fontId="55" fillId="53" borderId="0"/>
    <xf numFmtId="0" fontId="87" fillId="0" borderId="34"/>
    <xf numFmtId="0" fontId="87" fillId="0" borderId="34"/>
    <xf numFmtId="0" fontId="87" fillId="0" borderId="35"/>
    <xf numFmtId="0" fontId="87" fillId="0" borderId="35"/>
    <xf numFmtId="0" fontId="87" fillId="0" borderId="35"/>
    <xf numFmtId="0" fontId="87" fillId="0" borderId="35"/>
    <xf numFmtId="0" fontId="88" fillId="0" borderId="0"/>
    <xf numFmtId="0" fontId="89" fillId="0" borderId="0"/>
    <xf numFmtId="164" fontId="18" fillId="60" borderId="9">
      <protection locked="0"/>
    </xf>
    <xf numFmtId="0" fontId="18" fillId="80" borderId="9">
      <protection locked="0"/>
    </xf>
    <xf numFmtId="0" fontId="18" fillId="80" borderId="9">
      <protection locked="0"/>
    </xf>
    <xf numFmtId="0" fontId="18" fillId="80" borderId="9">
      <protection locked="0"/>
    </xf>
    <xf numFmtId="0" fontId="18" fillId="80" borderId="9">
      <protection locked="0"/>
    </xf>
    <xf numFmtId="0" fontId="18" fillId="80" borderId="9">
      <protection locked="0"/>
    </xf>
    <xf numFmtId="0" fontId="18" fillId="80" borderId="9">
      <protection locked="0"/>
    </xf>
    <xf numFmtId="187" fontId="78" fillId="61" borderId="9" applyNumberFormat="0" applyFont="0" applyBorder="0" applyAlignment="0">
      <protection locked="0"/>
    </xf>
    <xf numFmtId="187" fontId="78" fillId="63" borderId="9" applyNumberFormat="0" applyFont="0" applyBorder="0" applyAlignment="0"/>
    <xf numFmtId="183" fontId="18" fillId="60" borderId="9">
      <protection locked="0"/>
    </xf>
    <xf numFmtId="0" fontId="90" fillId="0" borderId="0">
      <alignment horizontal="left"/>
    </xf>
    <xf numFmtId="188" fontId="18" fillId="80" borderId="9"/>
    <xf numFmtId="0" fontId="57" fillId="0" borderId="0">
      <alignment horizontal="left" indent="1"/>
    </xf>
    <xf numFmtId="0" fontId="57" fillId="0" borderId="0">
      <alignment horizontal="left" indent="1"/>
    </xf>
    <xf numFmtId="0" fontId="57" fillId="0" borderId="0">
      <alignment horizontal="left" indent="1"/>
    </xf>
    <xf numFmtId="184" fontId="81" fillId="58" borderId="9"/>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0" fontId="34" fillId="0" borderId="0">
      <alignment horizontal="right"/>
    </xf>
    <xf numFmtId="0" fontId="18" fillId="0" borderId="0"/>
    <xf numFmtId="0" fontId="18" fillId="0" borderId="0"/>
    <xf numFmtId="0" fontId="18" fillId="0" borderId="0"/>
    <xf numFmtId="0" fontId="18" fillId="0" borderId="0"/>
    <xf numFmtId="0" fontId="1" fillId="0" borderId="0"/>
    <xf numFmtId="0" fontId="103" fillId="0" borderId="0"/>
    <xf numFmtId="0" fontId="1" fillId="0" borderId="0"/>
    <xf numFmtId="0" fontId="18" fillId="60" borderId="0">
      <alignment horizontal="left" indent="1"/>
      <protection locked="0"/>
    </xf>
    <xf numFmtId="0" fontId="18" fillId="60" borderId="0">
      <alignment horizontal="left" indent="1"/>
      <protection locked="0"/>
    </xf>
    <xf numFmtId="0" fontId="91" fillId="42" borderId="36" applyNumberFormat="0" applyFont="0" applyAlignment="0" applyProtection="0"/>
    <xf numFmtId="0" fontId="91" fillId="42" borderId="36" applyNumberFormat="0" applyFont="0" applyAlignment="0" applyProtection="0"/>
    <xf numFmtId="0" fontId="13" fillId="0" borderId="0">
      <alignment horizontal="left" indent="1"/>
    </xf>
    <xf numFmtId="0" fontId="13" fillId="0" borderId="0">
      <alignment horizontal="left" indent="1"/>
    </xf>
    <xf numFmtId="0" fontId="13" fillId="0" borderId="0">
      <alignment horizontal="left" indent="1"/>
    </xf>
    <xf numFmtId="0" fontId="18" fillId="83" borderId="9">
      <protection locked="0"/>
    </xf>
    <xf numFmtId="0" fontId="18" fillId="83" borderId="9">
      <protection locked="0"/>
    </xf>
    <xf numFmtId="0" fontId="18" fillId="83" borderId="9">
      <protection locked="0"/>
    </xf>
    <xf numFmtId="0" fontId="18" fillId="83" borderId="9">
      <protection locked="0"/>
    </xf>
    <xf numFmtId="0" fontId="18" fillId="83" borderId="9">
      <protection locked="0"/>
    </xf>
    <xf numFmtId="3" fontId="18" fillId="0" borderId="0">
      <alignment horizontal="right" indent="1"/>
    </xf>
    <xf numFmtId="166" fontId="18" fillId="0" borderId="0">
      <alignment horizontal="right" indent="1"/>
    </xf>
    <xf numFmtId="4" fontId="18" fillId="0" borderId="0">
      <alignment horizontal="right" indent="1"/>
    </xf>
    <xf numFmtId="182" fontId="18" fillId="0" borderId="0">
      <alignment horizontal="right" indent="1"/>
    </xf>
    <xf numFmtId="193" fontId="18" fillId="60" borderId="37" applyFont="0" applyFill="0" applyBorder="0" applyAlignment="0" applyProtection="0">
      <protection locked="0"/>
    </xf>
    <xf numFmtId="193" fontId="18" fillId="60" borderId="37" applyFont="0" applyFill="0" applyBorder="0" applyAlignment="0" applyProtection="0">
      <protection locked="0"/>
    </xf>
    <xf numFmtId="193" fontId="18" fillId="60" borderId="37" applyFont="0" applyFill="0" applyBorder="0" applyAlignment="0" applyProtection="0">
      <protection locked="0"/>
    </xf>
    <xf numFmtId="193" fontId="18" fillId="60" borderId="37" applyFont="0" applyFill="0" applyBorder="0" applyAlignment="0" applyProtection="0">
      <protection locked="0"/>
    </xf>
    <xf numFmtId="193" fontId="18" fillId="60" borderId="37" applyFont="0" applyFill="0" applyBorder="0" applyAlignment="0" applyProtection="0">
      <protection locked="0"/>
    </xf>
    <xf numFmtId="192" fontId="91" fillId="57" borderId="38" applyNumberFormat="0">
      <alignment vertical="center"/>
    </xf>
    <xf numFmtId="192" fontId="91" fillId="84" borderId="38" applyNumberFormat="0">
      <alignment vertical="center"/>
    </xf>
    <xf numFmtId="192" fontId="91" fillId="82" borderId="38" applyNumberFormat="0">
      <alignment vertical="center"/>
    </xf>
    <xf numFmtId="192" fontId="91" fillId="80" borderId="38" applyNumberFormat="0">
      <alignment vertical="center"/>
    </xf>
    <xf numFmtId="192" fontId="91" fillId="62" borderId="38" applyNumberFormat="0">
      <alignment vertical="center"/>
    </xf>
    <xf numFmtId="192" fontId="91" fillId="53" borderId="38" applyNumberFormat="0">
      <alignment vertical="center"/>
    </xf>
    <xf numFmtId="192" fontId="91" fillId="65" borderId="38" applyNumberFormat="0">
      <alignment vertical="center"/>
    </xf>
    <xf numFmtId="192" fontId="91" fillId="85" borderId="38" applyNumberFormat="0">
      <alignment vertical="center"/>
    </xf>
    <xf numFmtId="192" fontId="91" fillId="69" borderId="38" applyNumberFormat="0">
      <alignment vertical="center"/>
    </xf>
    <xf numFmtId="192" fontId="91" fillId="86" borderId="38" applyNumberFormat="0">
      <alignment vertical="center"/>
    </xf>
    <xf numFmtId="192" fontId="92" fillId="60" borderId="38">
      <protection locked="0"/>
    </xf>
    <xf numFmtId="192" fontId="92" fillId="58" borderId="38">
      <protection locked="0"/>
    </xf>
    <xf numFmtId="192" fontId="93" fillId="58" borderId="39" applyNumberFormat="0" applyFont="0" applyFill="0" applyAlignment="0" applyProtection="0">
      <protection locked="0"/>
    </xf>
    <xf numFmtId="192" fontId="34" fillId="0" borderId="0" applyNumberFormat="0" applyFill="0">
      <alignment horizontal="left" vertical="top"/>
    </xf>
    <xf numFmtId="192" fontId="34" fillId="0" borderId="0" applyNumberFormat="0" applyFill="0">
      <alignment horizontal="left" vertical="top"/>
    </xf>
    <xf numFmtId="192" fontId="34" fillId="0" borderId="0" applyNumberFormat="0" applyFill="0">
      <alignment horizontal="left" vertical="top"/>
    </xf>
    <xf numFmtId="0" fontId="94" fillId="67" borderId="0" applyNumberFormat="0">
      <alignment horizontal="left" vertical="center" indent="1"/>
    </xf>
    <xf numFmtId="0" fontId="86" fillId="74" borderId="0" applyNumberFormat="0">
      <alignment vertical="center"/>
    </xf>
    <xf numFmtId="0" fontId="55" fillId="53" borderId="0">
      <alignment vertical="center"/>
    </xf>
    <xf numFmtId="0" fontId="87" fillId="0" borderId="34">
      <alignment vertical="center"/>
    </xf>
    <xf numFmtId="190" fontId="18" fillId="57" borderId="0">
      <alignment horizontal="right"/>
    </xf>
    <xf numFmtId="0" fontId="48" fillId="81" borderId="23" applyNumberFormat="0" applyAlignment="0" applyProtection="0"/>
    <xf numFmtId="0" fontId="48" fillId="81" borderId="23" applyNumberFormat="0" applyAlignment="0" applyProtection="0"/>
    <xf numFmtId="191" fontId="28" fillId="81" borderId="0">
      <alignment horizontal="right"/>
    </xf>
    <xf numFmtId="0" fontId="95" fillId="87" borderId="0">
      <alignment horizontal="center"/>
    </xf>
    <xf numFmtId="0" fontId="79" fillId="88" borderId="0"/>
    <xf numFmtId="0" fontId="96" fillId="81" borderId="0" applyBorder="0">
      <alignment horizontal="centerContinuous"/>
    </xf>
    <xf numFmtId="0" fontId="97" fillId="88" borderId="0" applyBorder="0">
      <alignment horizontal="centerContinuous"/>
    </xf>
    <xf numFmtId="9" fontId="18" fillId="0" borderId="0">
      <alignment horizontal="right" indent="1"/>
    </xf>
    <xf numFmtId="164" fontId="18" fillId="0" borderId="0">
      <alignment horizontal="right" indent="1"/>
    </xf>
    <xf numFmtId="10" fontId="18" fillId="0" borderId="0">
      <alignment horizontal="right" indent="1"/>
    </xf>
    <xf numFmtId="9" fontId="1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8" fillId="53" borderId="0">
      <protection locked="0"/>
    </xf>
    <xf numFmtId="0" fontId="18" fillId="53" borderId="0">
      <protection locked="0"/>
    </xf>
    <xf numFmtId="0" fontId="18" fillId="53" borderId="0">
      <protection locked="0"/>
    </xf>
    <xf numFmtId="0" fontId="18" fillId="53" borderId="0">
      <protection locked="0"/>
    </xf>
    <xf numFmtId="0" fontId="18" fillId="53" borderId="0">
      <protection locked="0"/>
    </xf>
    <xf numFmtId="0" fontId="55" fillId="0" borderId="0">
      <alignment horizontal="left" indent="1"/>
    </xf>
    <xf numFmtId="0" fontId="75" fillId="0" borderId="0">
      <alignment horizontal="left" indent="1"/>
    </xf>
    <xf numFmtId="0" fontId="57" fillId="53" borderId="9">
      <alignment horizontal="center" vertical="center" wrapText="1"/>
    </xf>
    <xf numFmtId="0" fontId="98" fillId="89" borderId="29">
      <alignment vertical="top" wrapText="1"/>
    </xf>
    <xf numFmtId="164" fontId="18" fillId="72" borderId="9"/>
    <xf numFmtId="0" fontId="25" fillId="0" borderId="0">
      <alignment horizontal="left"/>
    </xf>
    <xf numFmtId="41" fontId="18" fillId="0" borderId="0" applyFont="0" applyFill="0" applyBorder="0" applyAlignment="0" applyProtection="0"/>
    <xf numFmtId="41" fontId="18" fillId="0" borderId="0" applyFont="0" applyFill="0" applyBorder="0" applyAlignment="0" applyProtection="0"/>
    <xf numFmtId="0" fontId="20" fillId="0" borderId="0">
      <alignment vertical="top"/>
    </xf>
    <xf numFmtId="191" fontId="78" fillId="80" borderId="40"/>
    <xf numFmtId="0" fontId="78" fillId="60" borderId="9"/>
    <xf numFmtId="0" fontId="99" fillId="0" borderId="0" applyNumberFormat="0" applyFill="0" applyBorder="0" applyAlignment="0" applyProtection="0"/>
    <xf numFmtId="0" fontId="99" fillId="0" borderId="0" applyNumberFormat="0" applyFill="0" applyBorder="0" applyAlignment="0" applyProtection="0"/>
    <xf numFmtId="0" fontId="50" fillId="0" borderId="41" applyNumberFormat="0" applyFill="0" applyAlignment="0" applyProtection="0"/>
    <xf numFmtId="0" fontId="50" fillId="0" borderId="41" applyNumberFormat="0" applyFill="0" applyAlignment="0" applyProtection="0"/>
    <xf numFmtId="184" fontId="78" fillId="80" borderId="9"/>
    <xf numFmtId="0" fontId="102" fillId="0" borderId="0"/>
    <xf numFmtId="0" fontId="102" fillId="0" borderId="0"/>
    <xf numFmtId="0" fontId="18" fillId="0" borderId="0"/>
    <xf numFmtId="0" fontId="18" fillId="0" borderId="0"/>
    <xf numFmtId="0" fontId="102" fillId="0" borderId="0"/>
    <xf numFmtId="0" fontId="18" fillId="0" borderId="0"/>
    <xf numFmtId="0" fontId="18" fillId="0" borderId="0"/>
    <xf numFmtId="0" fontId="102"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7"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7" fillId="0" borderId="0"/>
    <xf numFmtId="180" fontId="18" fillId="0" borderId="0"/>
    <xf numFmtId="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02" fillId="0" borderId="0"/>
    <xf numFmtId="0" fontId="17"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180" fontId="18" fillId="0" borderId="0"/>
    <xf numFmtId="180" fontId="18" fillId="0" borderId="0"/>
    <xf numFmtId="180" fontId="18" fillId="0" borderId="0"/>
    <xf numFmtId="180" fontId="18"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02" fillId="0" borderId="0"/>
    <xf numFmtId="0" fontId="102"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02" fillId="0" borderId="0"/>
    <xf numFmtId="0" fontId="17" fillId="0" borderId="0"/>
    <xf numFmtId="0" fontId="17" fillId="0" borderId="0"/>
    <xf numFmtId="0" fontId="18" fillId="0" borderId="0"/>
    <xf numFmtId="0" fontId="18" fillId="0" borderId="0"/>
    <xf numFmtId="0" fontId="18" fillId="0" borderId="0"/>
    <xf numFmtId="0" fontId="18" fillId="0" borderId="0"/>
    <xf numFmtId="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02" fillId="0" borderId="0"/>
    <xf numFmtId="0" fontId="18" fillId="0" borderId="0"/>
    <xf numFmtId="0" fontId="18" fillId="0" borderId="0"/>
    <xf numFmtId="0" fontId="18" fillId="0" borderId="0"/>
    <xf numFmtId="0" fontId="18"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7" fillId="0" borderId="0"/>
    <xf numFmtId="0" fontId="18" fillId="0" borderId="0"/>
    <xf numFmtId="0" fontId="18"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02" fillId="0" borderId="0"/>
    <xf numFmtId="0" fontId="17" fillId="0" borderId="0"/>
    <xf numFmtId="0" fontId="18" fillId="0" borderId="0"/>
    <xf numFmtId="0" fontId="102"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8" fillId="0" borderId="0"/>
    <xf numFmtId="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05" fillId="0" borderId="0"/>
    <xf numFmtId="0" fontId="18" fillId="0" borderId="0"/>
    <xf numFmtId="0" fontId="18" fillId="0" borderId="0"/>
    <xf numFmtId="0" fontId="102" fillId="0" borderId="0"/>
    <xf numFmtId="0" fontId="105" fillId="0" borderId="0"/>
    <xf numFmtId="0" fontId="105" fillId="0" borderId="0"/>
    <xf numFmtId="0" fontId="102" fillId="0" borderId="0"/>
    <xf numFmtId="0" fontId="102" fillId="0" borderId="0"/>
    <xf numFmtId="0" fontId="18" fillId="0" borderId="0"/>
    <xf numFmtId="0" fontId="18" fillId="0" borderId="0"/>
    <xf numFmtId="0" fontId="102" fillId="0" borderId="0"/>
    <xf numFmtId="0" fontId="102"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7" fillId="0" borderId="0"/>
    <xf numFmtId="0" fontId="102" fillId="0" borderId="0"/>
    <xf numFmtId="0" fontId="102" fillId="0" borderId="0"/>
    <xf numFmtId="0" fontId="102" fillId="0" borderId="0"/>
    <xf numFmtId="0" fontId="102"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8" fillId="0" borderId="0"/>
    <xf numFmtId="0" fontId="18" fillId="0" borderId="0"/>
    <xf numFmtId="0" fontId="102"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02" fillId="0" borderId="0"/>
    <xf numFmtId="180" fontId="18" fillId="0" borderId="0"/>
    <xf numFmtId="180" fontId="18" fillId="0" borderId="0"/>
    <xf numFmtId="180" fontId="18" fillId="0" borderId="0"/>
    <xf numFmtId="180" fontId="18" fillId="0" borderId="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02" fillId="0" borderId="0"/>
    <xf numFmtId="0" fontId="102" fillId="0" borderId="0"/>
    <xf numFmtId="180" fontId="18" fillId="0" borderId="0"/>
    <xf numFmtId="180" fontId="18" fillId="0" borderId="0"/>
    <xf numFmtId="180" fontId="18" fillId="0" borderId="0"/>
    <xf numFmtId="180" fontId="18" fillId="0" borderId="0"/>
    <xf numFmtId="0" fontId="18" fillId="0" borderId="0"/>
    <xf numFmtId="0" fontId="17" fillId="0" borderId="0"/>
    <xf numFmtId="0" fontId="17"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7" fillId="0" borderId="0"/>
    <xf numFmtId="0" fontId="17" fillId="0" borderId="0"/>
    <xf numFmtId="0" fontId="17" fillId="0" borderId="0"/>
    <xf numFmtId="0" fontId="17" fillId="0" borderId="0"/>
    <xf numFmtId="0" fontId="102" fillId="0" borderId="0"/>
    <xf numFmtId="0" fontId="102" fillId="0" borderId="0"/>
    <xf numFmtId="0" fontId="102"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8" fillId="0" borderId="0"/>
    <xf numFmtId="0" fontId="102" fillId="0" borderId="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36" fillId="42" borderId="0" applyNumberFormat="0" applyBorder="0" applyAlignment="0" applyProtection="0"/>
    <xf numFmtId="0" fontId="106" fillId="11" borderId="0" applyNumberFormat="0" applyBorder="0" applyAlignment="0" applyProtection="0"/>
    <xf numFmtId="0" fontId="36" fillId="39" borderId="0" applyNumberFormat="0" applyBorder="0" applyAlignment="0" applyProtection="0"/>
    <xf numFmtId="0" fontId="106" fillId="15" borderId="0" applyNumberFormat="0" applyBorder="0" applyAlignment="0" applyProtection="0"/>
    <xf numFmtId="0" fontId="36" fillId="40" borderId="0" applyNumberFormat="0" applyBorder="0" applyAlignment="0" applyProtection="0"/>
    <xf numFmtId="0" fontId="106" fillId="19" borderId="0" applyNumberFormat="0" applyBorder="0" applyAlignment="0" applyProtection="0"/>
    <xf numFmtId="0" fontId="36" fillId="43" borderId="0" applyNumberFormat="0" applyBorder="0" applyAlignment="0" applyProtection="0"/>
    <xf numFmtId="0" fontId="106" fillId="23" borderId="0" applyNumberFormat="0" applyBorder="0" applyAlignment="0" applyProtection="0"/>
    <xf numFmtId="0" fontId="36" fillId="45" borderId="0" applyNumberFormat="0" applyBorder="0" applyAlignment="0" applyProtection="0"/>
    <xf numFmtId="0" fontId="106" fillId="27" borderId="0" applyNumberFormat="0" applyBorder="0" applyAlignment="0" applyProtection="0"/>
    <xf numFmtId="0" fontId="36" fillId="46" borderId="0" applyNumberFormat="0" applyBorder="0" applyAlignment="0" applyProtection="0"/>
    <xf numFmtId="0" fontId="106" fillId="31" borderId="0" applyNumberFormat="0" applyBorder="0" applyAlignment="0" applyProtection="0"/>
    <xf numFmtId="0" fontId="36" fillId="42"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106" fillId="8" borderId="0" applyNumberFormat="0" applyBorder="0" applyAlignment="0" applyProtection="0"/>
    <xf numFmtId="0" fontId="36" fillId="48" borderId="0" applyNumberFormat="0" applyBorder="0" applyAlignment="0" applyProtection="0"/>
    <xf numFmtId="0" fontId="106" fillId="12" borderId="0" applyNumberFormat="0" applyBorder="0" applyAlignment="0" applyProtection="0"/>
    <xf numFmtId="0" fontId="36" fillId="49" borderId="0" applyNumberFormat="0" applyBorder="0" applyAlignment="0" applyProtection="0"/>
    <xf numFmtId="0" fontId="106" fillId="16" borderId="0" applyNumberFormat="0" applyBorder="0" applyAlignment="0" applyProtection="0"/>
    <xf numFmtId="0" fontId="36" fillId="43" borderId="0" applyNumberFormat="0" applyBorder="0" applyAlignment="0" applyProtection="0"/>
    <xf numFmtId="0" fontId="106" fillId="20" borderId="0" applyNumberFormat="0" applyBorder="0" applyAlignment="0" applyProtection="0"/>
    <xf numFmtId="0" fontId="36" fillId="45" borderId="0" applyNumberFormat="0" applyBorder="0" applyAlignment="0" applyProtection="0"/>
    <xf numFmtId="0" fontId="106" fillId="24" borderId="0" applyNumberFormat="0" applyBorder="0" applyAlignment="0" applyProtection="0"/>
    <xf numFmtId="0" fontId="36" fillId="50" borderId="0" applyNumberFormat="0" applyBorder="0" applyAlignment="0" applyProtection="0"/>
    <xf numFmtId="0" fontId="106" fillId="28"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43" borderId="0" applyNumberFormat="0" applyBorder="0" applyAlignment="0" applyProtection="0"/>
    <xf numFmtId="0" fontId="36" fillId="45" borderId="0" applyNumberFormat="0" applyBorder="0" applyAlignment="0" applyProtection="0"/>
    <xf numFmtId="0" fontId="36" fillId="50" borderId="0" applyNumberFormat="0" applyBorder="0" applyAlignment="0" applyProtection="0"/>
    <xf numFmtId="0" fontId="37" fillId="33" borderId="0" applyNumberFormat="0" applyBorder="0" applyAlignment="0" applyProtection="0"/>
    <xf numFmtId="0" fontId="107" fillId="3" borderId="0" applyNumberFormat="0" applyBorder="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9" fillId="52" borderId="13" applyNumberFormat="0" applyAlignment="0" applyProtection="0"/>
    <xf numFmtId="0" fontId="108" fillId="6" borderId="4" applyNumberFormat="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4" fillId="0" borderId="0" applyFont="0" applyFill="0" applyBorder="0" applyAlignment="0" applyProtection="0"/>
    <xf numFmtId="43" fontId="102" fillId="0" borderId="0" applyFont="0" applyFill="0" applyBorder="0" applyAlignment="0" applyProtection="0"/>
    <xf numFmtId="43" fontId="16" fillId="0" borderId="0" applyFont="0" applyFill="0" applyBorder="0" applyAlignment="0" applyProtection="0"/>
    <xf numFmtId="43" fontId="10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02" fillId="0" borderId="0" applyFont="0" applyFill="0" applyBorder="0" applyAlignment="0" applyProtection="0"/>
    <xf numFmtId="44" fontId="16" fillId="0" borderId="0" applyFont="0" applyFill="0" applyBorder="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1" fillId="34" borderId="0" applyNumberFormat="0" applyBorder="0" applyAlignment="0" applyProtection="0"/>
    <xf numFmtId="179" fontId="18" fillId="0" borderId="0" applyFont="0" applyFill="0" applyBorder="0" applyAlignment="0" applyProtection="0"/>
    <xf numFmtId="0" fontId="40" fillId="0" borderId="0" applyNumberFormat="0" applyFill="0" applyBorder="0" applyAlignment="0" applyProtection="0"/>
    <xf numFmtId="0" fontId="109" fillId="0" borderId="0" applyNumberFormat="0" applyFill="0" applyBorder="0" applyAlignment="0" applyProtection="0"/>
    <xf numFmtId="0" fontId="41" fillId="34" borderId="0" applyNumberFormat="0" applyBorder="0" applyAlignment="0" applyProtection="0"/>
    <xf numFmtId="0" fontId="110" fillId="2" borderId="0" applyNumberFormat="0" applyBorder="0" applyAlignment="0" applyProtection="0"/>
    <xf numFmtId="0" fontId="42" fillId="0" borderId="16" applyNumberFormat="0" applyFill="0" applyAlignment="0" applyProtection="0"/>
    <xf numFmtId="0" fontId="111" fillId="0" borderId="30" applyNumberFormat="0" applyFill="0" applyAlignment="0" applyProtection="0"/>
    <xf numFmtId="0" fontId="43" fillId="0" borderId="17" applyNumberFormat="0" applyFill="0" applyAlignment="0" applyProtection="0"/>
    <xf numFmtId="0" fontId="112" fillId="0" borderId="31"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113" fillId="0" borderId="1" applyNumberFormat="0" applyFill="0" applyAlignment="0" applyProtection="0"/>
    <xf numFmtId="0" fontId="114" fillId="0" borderId="0" applyNumberFormat="0" applyFill="0" applyBorder="0" applyAlignment="0" applyProtection="0"/>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6" fillId="0" borderId="21" applyNumberFormat="0" applyFill="0" applyAlignment="0" applyProtection="0"/>
    <xf numFmtId="0" fontId="39" fillId="52" borderId="13" applyNumberFormat="0" applyAlignment="0" applyProtection="0"/>
    <xf numFmtId="0" fontId="46" fillId="0" borderId="21" applyNumberFormat="0" applyFill="0" applyAlignment="0" applyProtection="0"/>
    <xf numFmtId="0" fontId="119" fillId="0" borderId="3" applyNumberFormat="0" applyFill="0" applyAlignment="0" applyProtection="0"/>
    <xf numFmtId="0" fontId="42" fillId="0" borderId="16" applyNumberFormat="0" applyFill="0" applyAlignment="0" applyProtection="0"/>
    <xf numFmtId="0" fontId="43" fillId="0" borderId="17"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0" applyNumberFormat="0" applyFill="0" applyBorder="0" applyAlignment="0" applyProtection="0"/>
    <xf numFmtId="0" fontId="47" fillId="44" borderId="0" applyNumberFormat="0" applyBorder="0" applyAlignment="0" applyProtection="0"/>
    <xf numFmtId="0" fontId="120" fillId="4" borderId="0" applyNumberFormat="0" applyBorder="0" applyAlignment="0" applyProtection="0"/>
    <xf numFmtId="0" fontId="47" fillId="4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02" fillId="0" borderId="0"/>
    <xf numFmtId="0" fontId="1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8" fillId="0" borderId="0"/>
    <xf numFmtId="0" fontId="16" fillId="0" borderId="0"/>
    <xf numFmtId="0" fontId="18" fillId="0" borderId="0"/>
    <xf numFmtId="0" fontId="102" fillId="0" borderId="0"/>
    <xf numFmtId="0" fontId="16" fillId="0" borderId="0"/>
    <xf numFmtId="0" fontId="16" fillId="0" borderId="0"/>
    <xf numFmtId="0" fontId="10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6"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7" fontId="17" fillId="0" borderId="0"/>
    <xf numFmtId="197" fontId="17" fillId="0" borderId="0"/>
    <xf numFmtId="0" fontId="102" fillId="0" borderId="0"/>
    <xf numFmtId="0" fontId="102" fillId="0" borderId="0"/>
    <xf numFmtId="196" fontId="17" fillId="0" borderId="0"/>
    <xf numFmtId="196" fontId="17" fillId="0" borderId="0"/>
    <xf numFmtId="196" fontId="17" fillId="0" borderId="0"/>
    <xf numFmtId="196" fontId="17" fillId="0" borderId="0"/>
    <xf numFmtId="196" fontId="17" fillId="0" borderId="0"/>
    <xf numFmtId="196" fontId="17" fillId="0" borderId="0"/>
    <xf numFmtId="196" fontId="17" fillId="0" borderId="0"/>
    <xf numFmtId="197" fontId="17" fillId="0" borderId="0"/>
    <xf numFmtId="197" fontId="17" fillId="0" borderId="0"/>
    <xf numFmtId="0" fontId="102" fillId="0" borderId="0"/>
    <xf numFmtId="0" fontId="1" fillId="0" borderId="0"/>
    <xf numFmtId="0" fontId="17" fillId="0" borderId="0"/>
    <xf numFmtId="196" fontId="17" fillId="0" borderId="0"/>
    <xf numFmtId="0" fontId="16" fillId="0" borderId="0"/>
    <xf numFmtId="196" fontId="17" fillId="0" borderId="0"/>
    <xf numFmtId="196" fontId="17" fillId="0" borderId="0"/>
    <xf numFmtId="196" fontId="17" fillId="0" borderId="0"/>
    <xf numFmtId="196" fontId="17" fillId="0" borderId="0"/>
    <xf numFmtId="196" fontId="17" fillId="0" borderId="0"/>
    <xf numFmtId="196" fontId="17" fillId="0" borderId="0"/>
    <xf numFmtId="0" fontId="121" fillId="0" borderId="0"/>
    <xf numFmtId="0" fontId="18" fillId="0" borderId="0"/>
    <xf numFmtId="0" fontId="1" fillId="0" borderId="0"/>
    <xf numFmtId="0" fontId="16" fillId="0" borderId="0"/>
    <xf numFmtId="0" fontId="18" fillId="0" borderId="0"/>
    <xf numFmtId="196" fontId="18" fillId="0" borderId="0"/>
    <xf numFmtId="0" fontId="1" fillId="0" borderId="0"/>
    <xf numFmtId="0" fontId="1" fillId="0" borderId="0"/>
    <xf numFmtId="0" fontId="1" fillId="0" borderId="0"/>
    <xf numFmtId="0" fontId="121" fillId="0" borderId="0"/>
    <xf numFmtId="196" fontId="18" fillId="0" borderId="0"/>
    <xf numFmtId="196" fontId="18" fillId="0" borderId="0"/>
    <xf numFmtId="196" fontId="18" fillId="0" borderId="0"/>
    <xf numFmtId="196" fontId="18" fillId="0" borderId="0"/>
    <xf numFmtId="0" fontId="17" fillId="0" borderId="0"/>
    <xf numFmtId="196"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6" fontId="17" fillId="0" borderId="0"/>
    <xf numFmtId="0" fontId="16" fillId="0" borderId="0"/>
    <xf numFmtId="0" fontId="16" fillId="0" borderId="0"/>
    <xf numFmtId="0" fontId="16" fillId="0" borderId="0"/>
    <xf numFmtId="0" fontId="16" fillId="0" borderId="0"/>
    <xf numFmtId="0" fontId="16" fillId="0" borderId="0"/>
    <xf numFmtId="0" fontId="16" fillId="0" borderId="0"/>
    <xf numFmtId="196" fontId="17"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8" fillId="0" borderId="0"/>
    <xf numFmtId="197" fontId="18" fillId="0" borderId="0"/>
    <xf numFmtId="0" fontId="17" fillId="0" borderId="0"/>
    <xf numFmtId="0" fontId="102" fillId="0" borderId="0"/>
    <xf numFmtId="0" fontId="102" fillId="0" borderId="0"/>
    <xf numFmtId="0" fontId="102" fillId="0" borderId="0"/>
    <xf numFmtId="0" fontId="102" fillId="0" borderId="0"/>
    <xf numFmtId="0" fontId="102" fillId="0" borderId="0"/>
    <xf numFmtId="0" fontId="104" fillId="0" borderId="0"/>
    <xf numFmtId="0" fontId="16" fillId="0" borderId="0"/>
    <xf numFmtId="0" fontId="16" fillId="0" borderId="0"/>
    <xf numFmtId="0" fontId="16" fillId="0" borderId="0"/>
    <xf numFmtId="0" fontId="16" fillId="0" borderId="0"/>
    <xf numFmtId="0" fontId="10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0" fontId="102" fillId="0" borderId="0"/>
    <xf numFmtId="0" fontId="28" fillId="0" borderId="0"/>
    <xf numFmtId="0" fontId="102" fillId="0" borderId="0"/>
    <xf numFmtId="196" fontId="18" fillId="0" borderId="0"/>
    <xf numFmtId="196" fontId="18" fillId="0" borderId="0"/>
    <xf numFmtId="0" fontId="102" fillId="0" borderId="0"/>
    <xf numFmtId="0" fontId="102" fillId="0" borderId="0"/>
    <xf numFmtId="0" fontId="16" fillId="0" borderId="0"/>
    <xf numFmtId="0" fontId="16" fillId="0" borderId="0"/>
    <xf numFmtId="0" fontId="16" fillId="0" borderId="0"/>
    <xf numFmtId="0" fontId="16" fillId="0" borderId="0"/>
    <xf numFmtId="0" fontId="17"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6" fontId="17" fillId="0" borderId="0"/>
    <xf numFmtId="0" fontId="10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0" fontId="102" fillId="0" borderId="0"/>
    <xf numFmtId="0" fontId="18" fillId="0" borderId="0"/>
    <xf numFmtId="0" fontId="18" fillId="0" borderId="0"/>
    <xf numFmtId="0" fontId="10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02" fillId="0" borderId="0" applyNumberFormat="0" applyFill="0" applyBorder="0" applyAlignment="0" applyProtection="0"/>
    <xf numFmtId="0" fontId="16" fillId="0" borderId="0"/>
    <xf numFmtId="0" fontId="16" fillId="0" borderId="0"/>
    <xf numFmtId="0" fontId="16" fillId="0" borderId="0"/>
    <xf numFmtId="0" fontId="16" fillId="0" borderId="0"/>
    <xf numFmtId="0" fontId="17"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0" fontId="102" fillId="0" borderId="0"/>
    <xf numFmtId="0" fontId="102" fillId="0" borderId="0"/>
    <xf numFmtId="0" fontId="16" fillId="0" borderId="0"/>
    <xf numFmtId="0" fontId="102" fillId="0" borderId="0"/>
    <xf numFmtId="0" fontId="102"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196"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122" fillId="5" borderId="2" applyNumberFormat="0" applyAlignment="0" applyProtection="0"/>
    <xf numFmtId="9" fontId="102" fillId="0" borderId="0" applyFont="0" applyFill="0" applyBorder="0" applyAlignment="0" applyProtection="0"/>
    <xf numFmtId="9" fontId="102"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40" fillId="0" borderId="0" applyNumberFormat="0" applyFill="0" applyBorder="0" applyAlignment="0" applyProtection="0"/>
    <xf numFmtId="0" fontId="51" fillId="0" borderId="0" applyNumberFormat="0" applyFill="0" applyBorder="0" applyAlignment="0" applyProtection="0"/>
    <xf numFmtId="0" fontId="49" fillId="0" borderId="0" applyNumberFormat="0" applyFill="0" applyBorder="0" applyAlignment="0" applyProtection="0"/>
    <xf numFmtId="0" fontId="123" fillId="0" borderId="0" applyNumberFormat="0" applyFill="0" applyBorder="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124" fillId="0" borderId="6" applyNumberFormat="0" applyFill="0" applyAlignment="0" applyProtection="0"/>
    <xf numFmtId="0" fontId="49" fillId="0" borderId="0" applyNumberFormat="0" applyFill="0" applyBorder="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51" fillId="0" borderId="0" applyNumberFormat="0" applyFill="0" applyBorder="0" applyAlignment="0" applyProtection="0"/>
    <xf numFmtId="0" fontId="125" fillId="0" borderId="0" applyNumberFormat="0" applyFill="0" applyBorder="0" applyAlignment="0" applyProtection="0"/>
    <xf numFmtId="0" fontId="37" fillId="33" borderId="0" applyNumberFormat="0" applyBorder="0" applyAlignment="0" applyProtection="0"/>
    <xf numFmtId="43" fontId="1" fillId="0" borderId="0" applyFont="0" applyFill="0" applyBorder="0" applyAlignment="0" applyProtection="0"/>
    <xf numFmtId="0" fontId="1" fillId="0" borderId="0"/>
    <xf numFmtId="9" fontId="126" fillId="0" borderId="0">
      <alignment horizontal="right"/>
    </xf>
    <xf numFmtId="0" fontId="18" fillId="0" borderId="0"/>
    <xf numFmtId="0" fontId="91" fillId="0" borderId="0"/>
    <xf numFmtId="0" fontId="102" fillId="0" borderId="0"/>
    <xf numFmtId="0" fontId="18" fillId="0" borderId="0"/>
    <xf numFmtId="0" fontId="91" fillId="0" borderId="0"/>
    <xf numFmtId="0" fontId="18" fillId="0" borderId="0"/>
    <xf numFmtId="0" fontId="18" fillId="0" borderId="0"/>
    <xf numFmtId="0" fontId="102" fillId="0" borderId="0"/>
    <xf numFmtId="0" fontId="102"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8" fillId="0" borderId="0"/>
    <xf numFmtId="0" fontId="102" fillId="0" borderId="0"/>
    <xf numFmtId="0" fontId="18" fillId="0" borderId="0"/>
    <xf numFmtId="0" fontId="102" fillId="0" borderId="0"/>
    <xf numFmtId="0" fontId="102" fillId="0" borderId="0"/>
    <xf numFmtId="0" fontId="18" fillId="0" borderId="0"/>
    <xf numFmtId="0" fontId="18" fillId="0" borderId="0"/>
    <xf numFmtId="0" fontId="18" fillId="0" borderId="0"/>
    <xf numFmtId="0" fontId="18" fillId="0" borderId="0"/>
    <xf numFmtId="199" fontId="127" fillId="0" borderId="0">
      <alignment horizontal="right" vertical="top"/>
    </xf>
    <xf numFmtId="0" fontId="128" fillId="55" borderId="0" applyNumberFormat="0" applyBorder="0" applyAlignment="0" applyProtection="0"/>
    <xf numFmtId="0" fontId="17" fillId="57" borderId="0" applyNumberFormat="0" applyBorder="0" applyAlignment="0" applyProtection="0"/>
    <xf numFmtId="0" fontId="17" fillId="8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28" fillId="67" borderId="0" applyNumberFormat="0" applyBorder="0" applyAlignment="0" applyProtection="0"/>
    <xf numFmtId="0" fontId="17" fillId="53" borderId="0" applyNumberFormat="0" applyBorder="0" applyAlignment="0" applyProtection="0"/>
    <xf numFmtId="0" fontId="17" fillId="51"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28" fillId="53" borderId="0" applyNumberFormat="0" applyBorder="0" applyAlignment="0" applyProtection="0"/>
    <xf numFmtId="0" fontId="17" fillId="53" borderId="0" applyNumberFormat="0" applyBorder="0" applyAlignment="0" applyProtection="0"/>
    <xf numFmtId="0" fontId="17" fillId="51"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28" fillId="74" borderId="0" applyNumberFormat="0" applyBorder="0" applyAlignment="0" applyProtection="0"/>
    <xf numFmtId="0" fontId="17" fillId="57" borderId="0" applyNumberFormat="0" applyBorder="0" applyAlignment="0" applyProtection="0"/>
    <xf numFmtId="0" fontId="17" fillId="8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28" fillId="85" borderId="0" applyNumberFormat="0" applyBorder="0" applyAlignment="0" applyProtection="0"/>
    <xf numFmtId="0" fontId="17" fillId="83" borderId="0" applyNumberFormat="0" applyBorder="0" applyAlignment="0" applyProtection="0"/>
    <xf numFmtId="0" fontId="17" fillId="91"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28" fillId="60" borderId="0" applyNumberFormat="0" applyBorder="0" applyAlignment="0" applyProtection="0"/>
    <xf numFmtId="0" fontId="17" fillId="58" borderId="0" applyNumberFormat="0" applyBorder="0" applyAlignment="0" applyProtection="0"/>
    <xf numFmtId="0" fontId="17" fillId="37"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28" fillId="55" borderId="0" applyNumberFormat="0" applyBorder="0" applyAlignment="0" applyProtection="0"/>
    <xf numFmtId="0" fontId="17" fillId="82" borderId="0" applyNumberFormat="0" applyBorder="0" applyAlignment="0" applyProtection="0"/>
    <xf numFmtId="0" fontId="17" fillId="38"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28" fillId="67" borderId="0" applyNumberFormat="0" applyBorder="0" applyAlignment="0" applyProtection="0"/>
    <xf numFmtId="0" fontId="17" fillId="53" borderId="0" applyNumberFormat="0" applyBorder="0" applyAlignment="0" applyProtection="0"/>
    <xf numFmtId="0" fontId="17" fillId="51"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28" fillId="53" borderId="0" applyNumberFormat="0" applyBorder="0" applyAlignment="0" applyProtection="0"/>
    <xf numFmtId="0" fontId="17" fillId="53" borderId="0" applyNumberFormat="0" applyBorder="0" applyAlignment="0" applyProtection="0"/>
    <xf numFmtId="0" fontId="17" fillId="51"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28" fillId="74" borderId="0" applyNumberFormat="0" applyBorder="0" applyAlignment="0" applyProtection="0"/>
    <xf numFmtId="0" fontId="17" fillId="57" borderId="0" applyNumberFormat="0" applyBorder="0" applyAlignment="0" applyProtection="0"/>
    <xf numFmtId="0" fontId="17" fillId="8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28" fillId="85" borderId="0" applyNumberFormat="0" applyBorder="0" applyAlignment="0" applyProtection="0"/>
    <xf numFmtId="0" fontId="17" fillId="82" borderId="0" applyNumberFormat="0" applyBorder="0" applyAlignment="0" applyProtection="0"/>
    <xf numFmtId="0" fontId="17" fillId="38"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28" fillId="60" borderId="0" applyNumberFormat="0" applyBorder="0" applyAlignment="0" applyProtection="0"/>
    <xf numFmtId="0" fontId="17" fillId="58" borderId="0" applyNumberFormat="0" applyBorder="0" applyAlignment="0" applyProtection="0"/>
    <xf numFmtId="0" fontId="17" fillId="37"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93"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93" borderId="0" applyNumberFormat="0" applyBorder="0" applyAlignment="0" applyProtection="0"/>
    <xf numFmtId="0" fontId="36" fillId="93" borderId="0" applyNumberFormat="0" applyBorder="0" applyAlignment="0" applyProtection="0"/>
    <xf numFmtId="0" fontId="36" fillId="94"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3"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39"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53"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95"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59"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1" borderId="0" applyNumberFormat="0" applyBorder="0" applyAlignment="0" applyProtection="0"/>
    <xf numFmtId="0" fontId="36" fillId="59"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84"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84" borderId="0" applyNumberFormat="0" applyBorder="0" applyAlignment="0" applyProtection="0"/>
    <xf numFmtId="0" fontId="36" fillId="84" borderId="0" applyNumberFormat="0" applyBorder="0" applyAlignment="0" applyProtection="0"/>
    <xf numFmtId="0" fontId="36" fillId="94"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58"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97" borderId="0" applyNumberFormat="0" applyBorder="0" applyAlignment="0" applyProtection="0"/>
    <xf numFmtId="0" fontId="36" fillId="58"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20" fillId="0" borderId="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3"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3" borderId="0" applyNumberFormat="0" applyBorder="0" applyAlignment="0" applyProtection="0"/>
    <xf numFmtId="0" fontId="36" fillId="93" borderId="0" applyNumberFormat="0" applyBorder="0" applyAlignment="0" applyProtection="0"/>
    <xf numFmtId="0" fontId="36" fillId="45"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72"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48" borderId="0" applyNumberFormat="0" applyBorder="0" applyAlignment="0" applyProtection="0"/>
    <xf numFmtId="0" fontId="36" fillId="72"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102"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102" borderId="0" applyNumberFormat="0" applyBorder="0" applyAlignment="0" applyProtection="0"/>
    <xf numFmtId="0" fontId="36" fillId="102" borderId="0" applyNumberFormat="0" applyBorder="0" applyAlignment="0" applyProtection="0"/>
    <xf numFmtId="0" fontId="36" fillId="49" borderId="0" applyNumberFormat="0" applyBorder="0" applyAlignment="0" applyProtection="0"/>
    <xf numFmtId="0" fontId="36" fillId="10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73"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8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84"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106"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106" borderId="0" applyNumberFormat="0" applyBorder="0" applyAlignment="0" applyProtection="0"/>
    <xf numFmtId="0" fontId="36" fillId="106" borderId="0" applyNumberFormat="0" applyBorder="0" applyAlignment="0" applyProtection="0"/>
    <xf numFmtId="0" fontId="36" fillId="50" borderId="0" applyNumberFormat="0" applyBorder="0" applyAlignment="0" applyProtection="0"/>
    <xf numFmtId="0" fontId="36" fillId="106"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20" fillId="0" borderId="0"/>
    <xf numFmtId="1" fontId="18" fillId="107" borderId="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200" fontId="20" fillId="0" borderId="0"/>
    <xf numFmtId="201" fontId="20" fillId="0" borderId="0"/>
    <xf numFmtId="202" fontId="20" fillId="0" borderId="0"/>
    <xf numFmtId="200"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3" fontId="20" fillId="0" borderId="0"/>
    <xf numFmtId="204" fontId="20" fillId="0" borderId="0"/>
    <xf numFmtId="205" fontId="20" fillId="0" borderId="0"/>
    <xf numFmtId="203"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6" fontId="20" fillId="0" borderId="0">
      <alignment horizontal="right"/>
      <protection locked="0"/>
    </xf>
    <xf numFmtId="207" fontId="20" fillId="0" borderId="0">
      <alignment horizontal="right"/>
      <protection locked="0"/>
    </xf>
    <xf numFmtId="208" fontId="20" fillId="0" borderId="0"/>
    <xf numFmtId="209" fontId="20" fillId="0" borderId="0"/>
    <xf numFmtId="210" fontId="20" fillId="0" borderId="0"/>
    <xf numFmtId="208"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9" fillId="6" borderId="4" applyNumberFormat="0" applyAlignment="0" applyProtection="0"/>
    <xf numFmtId="0" fontId="131" fillId="108" borderId="4" applyNumberFormat="0" applyAlignment="0" applyProtection="0"/>
    <xf numFmtId="0" fontId="39" fillId="59"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43" fontId="16" fillId="0" borderId="0" applyFont="0" applyFill="0" applyBorder="0" applyAlignment="0" applyProtection="0"/>
    <xf numFmtId="43" fontId="1" fillId="0" borderId="0" applyFont="0" applyFill="0" applyBorder="0" applyAlignment="0" applyProtection="0"/>
    <xf numFmtId="181" fontId="12" fillId="0" borderId="0" applyFont="0" applyFill="0" applyBorder="0" applyAlignment="0" applyProtection="0"/>
    <xf numFmtId="44" fontId="1" fillId="0" borderId="0" applyFont="0" applyFill="0" applyBorder="0" applyAlignment="0" applyProtection="0"/>
    <xf numFmtId="44" fontId="10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6" fillId="0" borderId="0" applyFont="0" applyFill="0" applyBorder="0" applyAlignment="0" applyProtection="0"/>
    <xf numFmtId="44" fontId="18" fillId="0" borderId="0" applyFont="0" applyFill="0" applyBorder="0" applyAlignment="0" applyProtection="0"/>
    <xf numFmtId="44" fontId="9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9" fontId="132" fillId="98" borderId="0">
      <alignment vertical="center"/>
    </xf>
    <xf numFmtId="49" fontId="132" fillId="99" borderId="0">
      <alignment vertical="center"/>
    </xf>
    <xf numFmtId="200"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43">
      <protection locked="0"/>
    </xf>
    <xf numFmtId="203"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43">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49" fontId="20" fillId="80" borderId="43">
      <alignment horizontal="left" vertical="top" wrapText="1"/>
      <protection locked="0"/>
    </xf>
    <xf numFmtId="49" fontId="20" fillId="80" borderId="43">
      <alignment horizontal="left" vertical="top" wrapText="1"/>
      <protection locked="0"/>
    </xf>
    <xf numFmtId="49" fontId="20" fillId="80" borderId="43">
      <alignment horizontal="left" vertical="top" wrapText="1"/>
      <protection locked="0"/>
    </xf>
    <xf numFmtId="208"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43">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211" fontId="20" fillId="60" borderId="43">
      <alignment horizontal="left" indent="1"/>
      <protection locked="0"/>
    </xf>
    <xf numFmtId="211" fontId="20" fillId="60" borderId="43">
      <alignment horizontal="left" indent="1"/>
      <protection locked="0"/>
    </xf>
    <xf numFmtId="211" fontId="20" fillId="60" borderId="43">
      <alignment horizontal="left" indent="1"/>
      <protection locked="0"/>
    </xf>
    <xf numFmtId="2" fontId="133" fillId="60" borderId="9">
      <protection locked="0"/>
    </xf>
    <xf numFmtId="16" fontId="28" fillId="0" borderId="0" applyFont="0" applyFill="0" applyBorder="0" applyAlignment="0" applyProtection="0"/>
    <xf numFmtId="15" fontId="28" fillId="0" borderId="0" applyFont="0" applyFill="0" applyBorder="0" applyAlignment="0" applyProtection="0"/>
    <xf numFmtId="17" fontId="28" fillId="0" borderId="0" applyFont="0" applyFill="0" applyBorder="0" applyAlignment="0" applyProtection="0"/>
    <xf numFmtId="212" fontId="13" fillId="78" borderId="0">
      <alignment horizontal="right"/>
    </xf>
    <xf numFmtId="15" fontId="134" fillId="109" borderId="0" applyNumberFormat="0" applyFont="0" applyBorder="0" applyAlignment="0" applyProtection="0"/>
    <xf numFmtId="199" fontId="135" fillId="74" borderId="0">
      <alignment horizontal="right"/>
    </xf>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32" fillId="110" borderId="0">
      <alignment horizontal="right" vertical="center"/>
    </xf>
    <xf numFmtId="0" fontId="132" fillId="89" borderId="0">
      <alignment horizontal="right" vertical="center"/>
    </xf>
    <xf numFmtId="0" fontId="41" fillId="34" borderId="0" applyNumberFormat="0" applyBorder="0" applyAlignment="0" applyProtection="0"/>
    <xf numFmtId="0" fontId="41" fillId="80" borderId="0" applyNumberFormat="0" applyBorder="0" applyAlignment="0" applyProtection="0"/>
    <xf numFmtId="0" fontId="41" fillId="34" borderId="0" applyNumberFormat="0" applyBorder="0" applyAlignment="0" applyProtection="0"/>
    <xf numFmtId="0" fontId="41" fillId="80"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80"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83" fillId="111" borderId="0" applyNumberFormat="0" applyBorder="0" applyAlignment="0" applyProtection="0"/>
    <xf numFmtId="0" fontId="41" fillId="80" borderId="0" applyNumberFormat="0" applyBorder="0" applyAlignment="0" applyProtection="0"/>
    <xf numFmtId="0" fontId="41" fillId="34" borderId="0" applyNumberFormat="0" applyBorder="0" applyAlignment="0" applyProtection="0"/>
    <xf numFmtId="0" fontId="41" fillId="80" borderId="0" applyNumberFormat="0" applyBorder="0" applyAlignment="0" applyProtection="0"/>
    <xf numFmtId="0" fontId="41" fillId="34" borderId="0" applyNumberFormat="0" applyBorder="0" applyAlignment="0" applyProtection="0"/>
    <xf numFmtId="0" fontId="41" fillId="80" borderId="0" applyNumberFormat="0" applyBorder="0" applyAlignment="0" applyProtection="0"/>
    <xf numFmtId="0" fontId="41" fillId="34" borderId="0" applyNumberFormat="0" applyBorder="0" applyAlignment="0" applyProtection="0"/>
    <xf numFmtId="0" fontId="41" fillId="80" borderId="0" applyNumberFormat="0" applyBorder="0" applyAlignment="0" applyProtection="0"/>
    <xf numFmtId="0" fontId="41" fillId="34" borderId="0" applyNumberFormat="0" applyBorder="0" applyAlignment="0" applyProtection="0"/>
    <xf numFmtId="0" fontId="41" fillId="80" borderId="0" applyNumberFormat="0" applyBorder="0" applyAlignment="0" applyProtection="0"/>
    <xf numFmtId="0" fontId="136" fillId="112" borderId="0">
      <alignment vertical="center"/>
    </xf>
    <xf numFmtId="0" fontId="136" fillId="113" borderId="0">
      <alignment vertical="center"/>
    </xf>
    <xf numFmtId="0" fontId="136" fillId="112" borderId="0">
      <alignment vertical="center"/>
    </xf>
    <xf numFmtId="0" fontId="136" fillId="113" borderId="0">
      <alignment vertical="center"/>
    </xf>
    <xf numFmtId="0" fontId="136" fillId="113" borderId="0">
      <alignment vertical="center"/>
    </xf>
    <xf numFmtId="0" fontId="136" fillId="113" borderId="0">
      <alignment vertical="center"/>
    </xf>
    <xf numFmtId="0" fontId="136" fillId="113" borderId="0">
      <alignment vertical="center"/>
    </xf>
    <xf numFmtId="0" fontId="137" fillId="0" borderId="44" applyNumberFormat="0" applyFill="0" applyAlignment="0" applyProtection="0"/>
    <xf numFmtId="0" fontId="136" fillId="113" borderId="0">
      <alignment vertical="center"/>
    </xf>
    <xf numFmtId="0" fontId="136" fillId="112" borderId="0">
      <alignment vertical="center"/>
    </xf>
    <xf numFmtId="0" fontId="136" fillId="113" borderId="0">
      <alignment vertical="center"/>
    </xf>
    <xf numFmtId="0" fontId="136" fillId="112" borderId="0">
      <alignment vertical="center"/>
    </xf>
    <xf numFmtId="0" fontId="136" fillId="113" borderId="0">
      <alignment vertical="center"/>
    </xf>
    <xf numFmtId="0" fontId="136" fillId="112" borderId="0">
      <alignment vertical="center"/>
    </xf>
    <xf numFmtId="0" fontId="136" fillId="113" borderId="0">
      <alignment vertical="center"/>
    </xf>
    <xf numFmtId="0" fontId="136" fillId="112" borderId="0">
      <alignment vertical="center"/>
    </xf>
    <xf numFmtId="0" fontId="136" fillId="113" borderId="0">
      <alignment vertical="center"/>
    </xf>
    <xf numFmtId="0" fontId="138" fillId="53" borderId="0">
      <alignment vertical="center"/>
    </xf>
    <xf numFmtId="0" fontId="138" fillId="53" borderId="0">
      <alignment vertical="center"/>
    </xf>
    <xf numFmtId="0" fontId="139" fillId="0" borderId="45" applyNumberFormat="0" applyFill="0" applyAlignment="0" applyProtection="0"/>
    <xf numFmtId="0" fontId="138" fillId="53" borderId="0">
      <alignment vertical="center"/>
    </xf>
    <xf numFmtId="0" fontId="138" fillId="53" borderId="0">
      <alignment vertical="center"/>
    </xf>
    <xf numFmtId="0" fontId="138" fillId="53" borderId="0">
      <alignment vertical="center"/>
    </xf>
    <xf numFmtId="0" fontId="138" fillId="53" borderId="0">
      <alignment vertical="center"/>
    </xf>
    <xf numFmtId="0" fontId="140" fillId="0" borderId="0"/>
    <xf numFmtId="0" fontId="140" fillId="0" borderId="0"/>
    <xf numFmtId="0" fontId="141" fillId="0" borderId="11" applyNumberFormat="0" applyFill="0" applyAlignment="0" applyProtection="0"/>
    <xf numFmtId="0" fontId="140" fillId="0" borderId="0"/>
    <xf numFmtId="0" fontId="140" fillId="0" borderId="0"/>
    <xf numFmtId="0" fontId="140" fillId="0" borderId="0"/>
    <xf numFmtId="0" fontId="140" fillId="0" borderId="0"/>
    <xf numFmtId="0" fontId="141" fillId="0" borderId="0" applyNumberForma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1" fillId="0" borderId="0" applyNumberFormat="0" applyFill="0" applyBorder="0" applyAlignment="0" applyProtection="0"/>
    <xf numFmtId="1" fontId="18" fillId="60" borderId="0"/>
    <xf numFmtId="1" fontId="18" fillId="60" borderId="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45" fillId="97" borderId="12" applyNumberFormat="0" applyAlignment="0" applyProtection="0"/>
    <xf numFmtId="1" fontId="18" fillId="60" borderId="0"/>
    <xf numFmtId="1" fontId="18" fillId="60" borderId="0"/>
    <xf numFmtId="1" fontId="18" fillId="60" borderId="0"/>
    <xf numFmtId="1" fontId="18" fillId="60" borderId="0"/>
    <xf numFmtId="0" fontId="149" fillId="0" borderId="0">
      <alignment horizontal="left" indent="1"/>
    </xf>
    <xf numFmtId="0" fontId="150" fillId="0" borderId="0"/>
    <xf numFmtId="0" fontId="151" fillId="0" borderId="0">
      <alignment horizontal="center"/>
    </xf>
    <xf numFmtId="0" fontId="23" fillId="0" borderId="20" applyProtection="0">
      <alignment horizontal="center"/>
      <protection locked="0"/>
    </xf>
    <xf numFmtId="0" fontId="152" fillId="0" borderId="46" applyNumberFormat="0" applyFill="0" applyAlignment="0" applyProtection="0"/>
    <xf numFmtId="0" fontId="152" fillId="0" borderId="46"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152" fillId="0" borderId="46" applyNumberFormat="0" applyFill="0" applyAlignment="0" applyProtection="0"/>
    <xf numFmtId="0" fontId="152" fillId="0" borderId="46" applyNumberFormat="0" applyFill="0" applyAlignment="0" applyProtection="0"/>
    <xf numFmtId="0" fontId="152" fillId="0" borderId="46" applyNumberFormat="0" applyFill="0" applyAlignment="0" applyProtection="0"/>
    <xf numFmtId="0" fontId="152" fillId="0" borderId="46" applyNumberFormat="0" applyFill="0" applyAlignment="0" applyProtection="0"/>
    <xf numFmtId="0" fontId="132" fillId="114" borderId="0">
      <alignment horizontal="right" vertical="center"/>
    </xf>
    <xf numFmtId="0" fontId="132" fillId="90" borderId="0">
      <alignment horizontal="right" vertical="center"/>
    </xf>
    <xf numFmtId="49" fontId="153" fillId="98" borderId="0">
      <alignment horizontal="centerContinuous" vertical="center"/>
    </xf>
    <xf numFmtId="49" fontId="153" fillId="99" borderId="0">
      <alignment horizontal="centerContinuous" vertical="center"/>
    </xf>
    <xf numFmtId="0" fontId="47" fillId="44"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47"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8" fillId="0" borderId="0" applyNumberFormat="0" applyFont="0" applyFill="0" applyBorder="0" applyAlignment="0" applyProtection="0"/>
    <xf numFmtId="0" fontId="1" fillId="0" borderId="0"/>
    <xf numFmtId="0" fontId="16" fillId="0" borderId="0"/>
    <xf numFmtId="0" fontId="16" fillId="0" borderId="0"/>
    <xf numFmtId="0" fontId="18" fillId="0" borderId="0" applyNumberFormat="0" applyFont="0" applyFill="0" applyBorder="0" applyAlignment="0" applyProtection="0"/>
    <xf numFmtId="0" fontId="103" fillId="0" borderId="0"/>
    <xf numFmtId="214" fontId="28" fillId="0" borderId="0" applyFont="0" applyFill="0" applyBorder="0" applyAlignment="0" applyProtection="0"/>
    <xf numFmtId="215" fontId="28" fillId="0" borderId="0" applyFont="0" applyFill="0" applyBorder="0" applyAlignment="0" applyProtection="0"/>
    <xf numFmtId="216" fontId="28" fillId="0" borderId="0" applyFont="0" applyFill="0" applyBorder="0" applyAlignment="0" applyProtection="0"/>
    <xf numFmtId="217" fontId="28" fillId="0" borderId="0" applyFont="0" applyFill="0" applyBorder="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54" fillId="78" borderId="0">
      <alignment horizontal="left" vertical="top" wrapText="1"/>
    </xf>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9" fontId="1" fillId="0" borderId="0" applyFont="0" applyFill="0" applyBorder="0" applyAlignment="0" applyProtection="0"/>
    <xf numFmtId="9" fontId="28" fillId="0" borderId="0" applyFont="0" applyFill="0" applyBorder="0" applyAlignment="0" applyProtection="0"/>
    <xf numFmtId="200" fontId="155" fillId="0" borderId="0">
      <alignment horizontal="right"/>
    </xf>
    <xf numFmtId="199" fontId="156" fillId="74" borderId="0">
      <alignment horizontal="right"/>
    </xf>
    <xf numFmtId="0" fontId="132" fillId="98" borderId="0">
      <alignment horizontal="right" vertical="center"/>
    </xf>
    <xf numFmtId="0" fontId="132" fillId="99" borderId="0">
      <alignment horizontal="right" vertical="center"/>
    </xf>
    <xf numFmtId="0" fontId="157" fillId="0" borderId="47" applyFill="0" applyProtection="0">
      <alignment horizontal="right" wrapText="1"/>
    </xf>
    <xf numFmtId="0" fontId="157" fillId="0" borderId="0" applyFill="0" applyProtection="0">
      <alignment wrapText="1"/>
    </xf>
    <xf numFmtId="0" fontId="29" fillId="57" borderId="8">
      <alignment horizontal="center"/>
    </xf>
    <xf numFmtId="0" fontId="29" fillId="57" borderId="8">
      <alignment horizontal="center"/>
    </xf>
    <xf numFmtId="0" fontId="29" fillId="57" borderId="8">
      <alignment horizontal="center"/>
    </xf>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1" fillId="0" borderId="0"/>
    <xf numFmtId="0" fontId="33" fillId="0" borderId="27">
      <alignment horizontal="right"/>
    </xf>
    <xf numFmtId="0" fontId="1" fillId="0" borderId="0"/>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1" fillId="0" borderId="0"/>
    <xf numFmtId="0" fontId="33" fillId="0" borderId="27">
      <alignment horizontal="right"/>
    </xf>
    <xf numFmtId="0" fontId="1" fillId="0" borderId="0"/>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198" fontId="18" fillId="0" borderId="0" applyAlignment="0">
      <alignment horizontal="left"/>
    </xf>
    <xf numFmtId="0" fontId="1" fillId="0" borderId="0"/>
    <xf numFmtId="49" fontId="28" fillId="0" borderId="0" applyFont="0" applyFill="0" applyBorder="0" applyAlignment="0" applyProtection="0"/>
    <xf numFmtId="0" fontId="1" fillId="0" borderId="0"/>
    <xf numFmtId="0" fontId="32" fillId="78" borderId="0"/>
    <xf numFmtId="0" fontId="32" fillId="74" borderId="0"/>
    <xf numFmtId="0" fontId="1" fillId="0" borderId="0"/>
    <xf numFmtId="0" fontId="13" fillId="78" borderId="0">
      <alignment horizontal="left"/>
    </xf>
    <xf numFmtId="0" fontId="13" fillId="74" borderId="0">
      <alignment horizontal="left"/>
    </xf>
    <xf numFmtId="0" fontId="1" fillId="0" borderId="0"/>
    <xf numFmtId="0" fontId="13" fillId="78" borderId="0">
      <alignment horizontal="left" indent="1"/>
    </xf>
    <xf numFmtId="0" fontId="13" fillId="74" borderId="0">
      <alignment horizontal="left" indent="1"/>
    </xf>
    <xf numFmtId="0" fontId="1" fillId="0" borderId="0"/>
    <xf numFmtId="0" fontId="13" fillId="78" borderId="0">
      <alignment horizontal="left" vertical="center" indent="2"/>
    </xf>
    <xf numFmtId="0" fontId="13" fillId="74" borderId="0">
      <alignment horizontal="left" vertical="center" indent="2"/>
    </xf>
    <xf numFmtId="0" fontId="1" fillId="0" borderId="0"/>
    <xf numFmtId="49" fontId="158" fillId="0" borderId="0" applyFill="0" applyBorder="0" applyProtection="0">
      <alignment horizontal="center" vertical="top"/>
    </xf>
    <xf numFmtId="0" fontId="1" fillId="0" borderId="0"/>
    <xf numFmtId="0" fontId="27" fillId="0" borderId="0">
      <alignment horizontal="center"/>
    </xf>
    <xf numFmtId="0" fontId="1" fillId="0" borderId="0"/>
    <xf numFmtId="15" fontId="27" fillId="0" borderId="0">
      <alignment horizontal="center"/>
    </xf>
    <xf numFmtId="0" fontId="1" fillId="0" borderId="0"/>
    <xf numFmtId="49" fontId="68" fillId="78" borderId="0"/>
    <xf numFmtId="49" fontId="68" fillId="74" borderId="0"/>
    <xf numFmtId="0" fontId="1" fillId="0" borderId="0"/>
    <xf numFmtId="49" fontId="68" fillId="78" borderId="0"/>
    <xf numFmtId="49" fontId="68" fillId="74" borderId="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49" fontId="68" fillId="74" borderId="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49" fontId="68" fillId="74" borderId="0"/>
    <xf numFmtId="0" fontId="1" fillId="0" borderId="0"/>
    <xf numFmtId="49" fontId="68" fillId="74" borderId="0"/>
    <xf numFmtId="0" fontId="1" fillId="0" borderId="0"/>
    <xf numFmtId="0" fontId="161" fillId="0" borderId="0" applyNumberFormat="0" applyFill="0" applyBorder="0" applyAlignment="0" applyProtection="0"/>
    <xf numFmtId="49" fontId="68" fillId="74" borderId="0"/>
    <xf numFmtId="0" fontId="1" fillId="0" borderId="0"/>
    <xf numFmtId="49" fontId="68" fillId="78" borderId="0"/>
    <xf numFmtId="49" fontId="68" fillId="74" borderId="0"/>
    <xf numFmtId="0" fontId="1" fillId="0" borderId="0"/>
    <xf numFmtId="49" fontId="68" fillId="78" borderId="0"/>
    <xf numFmtId="49" fontId="68" fillId="74" borderId="0"/>
    <xf numFmtId="0" fontId="1" fillId="0" borderId="0"/>
    <xf numFmtId="49" fontId="68" fillId="78" borderId="0"/>
    <xf numFmtId="49" fontId="68" fillId="74" borderId="0"/>
    <xf numFmtId="0" fontId="1" fillId="0" borderId="0"/>
    <xf numFmtId="49" fontId="68" fillId="78" borderId="0"/>
    <xf numFmtId="49" fontId="68" fillId="74" borderId="0"/>
    <xf numFmtId="0" fontId="1" fillId="0" borderId="0"/>
    <xf numFmtId="0" fontId="136" fillId="107" borderId="48"/>
    <xf numFmtId="0" fontId="1" fillId="0" borderId="0"/>
    <xf numFmtId="0" fontId="86" fillId="107" borderId="49">
      <alignment horizontal="left"/>
    </xf>
    <xf numFmtId="0" fontId="1" fillId="0" borderId="0"/>
    <xf numFmtId="22" fontId="20" fillId="53" borderId="49">
      <alignment vertical="center"/>
    </xf>
    <xf numFmtId="0" fontId="1" fillId="0" borderId="0"/>
    <xf numFmtId="0" fontId="20" fillId="53" borderId="49">
      <alignment horizontal="left" vertical="top" wrapText="1"/>
    </xf>
    <xf numFmtId="0" fontId="1" fillId="0" borderId="0"/>
    <xf numFmtId="0" fontId="20" fillId="53" borderId="50"/>
    <xf numFmtId="0" fontId="1" fillId="0" borderId="0"/>
    <xf numFmtId="0" fontId="20" fillId="53" borderId="5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4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1" fillId="0" borderId="0"/>
    <xf numFmtId="49" fontId="158" fillId="40" borderId="0" applyNumberFormat="0" applyFont="0" applyBorder="0" applyAlignment="0" applyProtection="0">
      <alignment horizontal="center"/>
    </xf>
    <xf numFmtId="49" fontId="158" fillId="70" borderId="0" applyNumberFormat="0" applyFont="0" applyBorder="0" applyAlignment="0" applyProtection="0">
      <alignment horizontal="center"/>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218" fontId="134" fillId="0" borderId="0" applyFont="0" applyFill="0" applyBorder="0" applyAlignment="0" applyProtection="0"/>
    <xf numFmtId="0" fontId="1" fillId="0" borderId="0"/>
    <xf numFmtId="0" fontId="18" fillId="80" borderId="9">
      <protection locked="0"/>
    </xf>
    <xf numFmtId="195" fontId="18" fillId="0" borderId="33">
      <protection locked="0"/>
    </xf>
    <xf numFmtId="184" fontId="78" fillId="80" borderId="9"/>
    <xf numFmtId="183" fontId="18" fillId="80" borderId="9"/>
    <xf numFmtId="183" fontId="18" fillId="80" borderId="9"/>
    <xf numFmtId="183" fontId="18" fillId="80" borderId="9"/>
    <xf numFmtId="183" fontId="18" fillId="80" borderId="9"/>
    <xf numFmtId="183" fontId="18" fillId="80" borderId="9"/>
    <xf numFmtId="184" fontId="78" fillId="80" borderId="9"/>
    <xf numFmtId="184" fontId="78" fillId="80" borderId="9"/>
    <xf numFmtId="184" fontId="78" fillId="80" borderId="9"/>
    <xf numFmtId="184" fontId="78" fillId="80" borderId="9"/>
    <xf numFmtId="184" fontId="78" fillId="80" borderId="9"/>
    <xf numFmtId="185" fontId="18" fillId="0" borderId="9">
      <alignment horizontal="center"/>
    </xf>
    <xf numFmtId="185" fontId="18" fillId="0" borderId="9">
      <alignment horizontal="center"/>
    </xf>
    <xf numFmtId="185" fontId="18" fillId="0" borderId="9">
      <alignment horizontal="center"/>
    </xf>
    <xf numFmtId="185" fontId="18" fillId="0" borderId="9">
      <alignment horizontal="center"/>
    </xf>
    <xf numFmtId="185" fontId="18" fillId="0" borderId="9">
      <alignment horizontal="center"/>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184" fontId="78" fillId="80" borderId="9"/>
    <xf numFmtId="184" fontId="78" fillId="80" borderId="9"/>
    <xf numFmtId="184" fontId="78" fillId="80" borderId="9"/>
    <xf numFmtId="184" fontId="78" fillId="80" borderId="9"/>
    <xf numFmtId="184" fontId="78" fillId="80" borderId="9"/>
    <xf numFmtId="183" fontId="80" fillId="60" borderId="9"/>
    <xf numFmtId="184" fontId="78" fillId="80" borderId="9"/>
    <xf numFmtId="195" fontId="18" fillId="0" borderId="33">
      <protection locked="0"/>
    </xf>
    <xf numFmtId="187" fontId="78" fillId="70" borderId="9" applyNumberFormat="0" applyFont="0" applyBorder="0" applyAlignment="0"/>
    <xf numFmtId="0" fontId="18" fillId="80" borderId="9">
      <protection locked="0"/>
    </xf>
    <xf numFmtId="0" fontId="18" fillId="80" borderId="9">
      <protection locked="0"/>
    </xf>
    <xf numFmtId="0" fontId="18" fillId="80" borderId="9">
      <protection locked="0"/>
    </xf>
    <xf numFmtId="0" fontId="18" fillId="80" borderId="9">
      <protection locked="0"/>
    </xf>
    <xf numFmtId="0" fontId="18" fillId="80" borderId="9">
      <protection locked="0"/>
    </xf>
    <xf numFmtId="0" fontId="18" fillId="80" borderId="9">
      <protection locked="0"/>
    </xf>
    <xf numFmtId="187" fontId="78" fillId="61" borderId="9" applyNumberFormat="0" applyFont="0" applyBorder="0" applyAlignment="0">
      <protection locked="0"/>
    </xf>
    <xf numFmtId="187" fontId="78" fillId="63" borderId="9" applyNumberFormat="0" applyFont="0" applyBorder="0" applyAlignment="0"/>
    <xf numFmtId="184" fontId="81" fillId="58" borderId="9"/>
    <xf numFmtId="0" fontId="91" fillId="42" borderId="36" applyNumberFormat="0" applyFont="0" applyAlignment="0" applyProtection="0"/>
    <xf numFmtId="0" fontId="91" fillId="42" borderId="36" applyNumberFormat="0" applyFont="0" applyAlignment="0" applyProtection="0"/>
    <xf numFmtId="0" fontId="18" fillId="83" borderId="9">
      <protection locked="0"/>
    </xf>
    <xf numFmtId="0" fontId="18" fillId="83" borderId="9">
      <protection locked="0"/>
    </xf>
    <xf numFmtId="0" fontId="18" fillId="83" borderId="9">
      <protection locked="0"/>
    </xf>
    <xf numFmtId="0" fontId="18" fillId="83" borderId="9">
      <protection locked="0"/>
    </xf>
    <xf numFmtId="0" fontId="18" fillId="83" borderId="9">
      <protection locked="0"/>
    </xf>
    <xf numFmtId="0" fontId="48" fillId="81" borderId="23" applyNumberFormat="0" applyAlignment="0" applyProtection="0"/>
    <xf numFmtId="0" fontId="48" fillId="81" borderId="23" applyNumberFormat="0" applyAlignment="0" applyProtection="0"/>
    <xf numFmtId="0" fontId="57" fillId="53" borderId="9">
      <alignment horizontal="center" vertical="center" wrapText="1"/>
    </xf>
    <xf numFmtId="0" fontId="50" fillId="0" borderId="41" applyNumberFormat="0" applyFill="0" applyAlignment="0" applyProtection="0"/>
    <xf numFmtId="0" fontId="50" fillId="0" borderId="41" applyNumberFormat="0" applyFill="0" applyAlignment="0" applyProtection="0"/>
    <xf numFmtId="0" fontId="1" fillId="0" borderId="0"/>
    <xf numFmtId="0" fontId="1" fillId="0" borderId="0"/>
    <xf numFmtId="0" fontId="16" fillId="0" borderId="0"/>
    <xf numFmtId="0" fontId="91" fillId="42" borderId="36" applyNumberFormat="0" applyFont="0" applyAlignment="0" applyProtection="0"/>
    <xf numFmtId="0" fontId="91" fillId="42" borderId="36" applyNumberFormat="0" applyFont="0" applyAlignment="0" applyProtection="0"/>
    <xf numFmtId="0" fontId="48" fillId="81" borderId="23" applyNumberFormat="0" applyAlignment="0" applyProtection="0"/>
    <xf numFmtId="0" fontId="48" fillId="81" borderId="23" applyNumberFormat="0" applyAlignment="0" applyProtection="0"/>
    <xf numFmtId="0" fontId="50" fillId="0" borderId="41" applyNumberFormat="0" applyFill="0" applyAlignment="0" applyProtection="0"/>
    <xf numFmtId="0" fontId="50" fillId="0" borderId="41" applyNumberFormat="0" applyFill="0" applyAlignment="0" applyProtection="0"/>
    <xf numFmtId="0" fontId="18" fillId="80" borderId="9">
      <protection locked="0"/>
    </xf>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184" fontId="78" fillId="80" borderId="9"/>
    <xf numFmtId="184" fontId="78" fillId="80" borderId="9"/>
    <xf numFmtId="184" fontId="78" fillId="80" borderId="9"/>
    <xf numFmtId="184" fontId="78" fillId="80" borderId="9"/>
    <xf numFmtId="184" fontId="78" fillId="80" borderId="9"/>
    <xf numFmtId="184" fontId="78" fillId="80" borderId="9"/>
    <xf numFmtId="41"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80" borderId="9">
      <protection locked="0"/>
    </xf>
    <xf numFmtId="0" fontId="18" fillId="80" borderId="9">
      <protection locked="0"/>
    </xf>
    <xf numFmtId="184" fontId="78" fillId="80" borderId="9"/>
    <xf numFmtId="184" fontId="78" fillId="80" borderId="9"/>
    <xf numFmtId="184" fontId="78" fillId="80" borderId="9"/>
    <xf numFmtId="184" fontId="78" fillId="80" borderId="9"/>
    <xf numFmtId="184" fontId="78" fillId="80" borderId="9"/>
    <xf numFmtId="184" fontId="78" fillId="80" borderId="9"/>
    <xf numFmtId="41" fontId="18"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0" fontId="16" fillId="0" borderId="0"/>
    <xf numFmtId="0" fontId="1" fillId="0" borderId="0"/>
    <xf numFmtId="0" fontId="1" fillId="0" borderId="0"/>
    <xf numFmtId="0" fontId="16" fillId="0" borderId="0"/>
    <xf numFmtId="184" fontId="78" fillId="80" borderId="9"/>
    <xf numFmtId="184" fontId="78" fillId="80" borderId="9"/>
    <xf numFmtId="184" fontId="78" fillId="80" borderId="9"/>
    <xf numFmtId="184" fontId="78" fillId="80" borderId="9"/>
    <xf numFmtId="184" fontId="78" fillId="80" borderId="9"/>
    <xf numFmtId="184" fontId="78" fillId="80" borderId="9"/>
    <xf numFmtId="43" fontId="18" fillId="0" borderId="0" applyFont="0" applyFill="0" applyBorder="0" applyAlignment="0" applyProtection="0"/>
    <xf numFmtId="0" fontId="16"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6" fillId="0" borderId="0"/>
    <xf numFmtId="0" fontId="16" fillId="0" borderId="0"/>
    <xf numFmtId="43" fontId="18" fillId="0" borderId="0" applyFont="0" applyFill="0" applyBorder="0" applyAlignment="0" applyProtection="0"/>
    <xf numFmtId="0" fontId="16" fillId="0" borderId="0"/>
    <xf numFmtId="0" fontId="16" fillId="0" borderId="0"/>
    <xf numFmtId="0" fontId="16"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6" fillId="0" borderId="0"/>
    <xf numFmtId="0" fontId="16" fillId="0" borderId="0"/>
    <xf numFmtId="0" fontId="18" fillId="0" borderId="0"/>
    <xf numFmtId="0" fontId="16" fillId="0" borderId="0"/>
    <xf numFmtId="43" fontId="18" fillId="0" borderId="0" applyFont="0" applyFill="0" applyBorder="0" applyAlignment="0" applyProtection="0"/>
    <xf numFmtId="0" fontId="16" fillId="0" borderId="0"/>
    <xf numFmtId="43" fontId="18" fillId="0" borderId="0" applyFont="0" applyFill="0" applyBorder="0" applyAlignment="0" applyProtection="0"/>
    <xf numFmtId="0" fontId="16" fillId="0" borderId="0"/>
    <xf numFmtId="9" fontId="1" fillId="0" borderId="0" applyFont="0" applyFill="0" applyBorder="0" applyAlignment="0" applyProtection="0"/>
    <xf numFmtId="0" fontId="16" fillId="0" borderId="0"/>
    <xf numFmtId="0" fontId="16" fillId="0" borderId="0"/>
    <xf numFmtId="0" fontId="16" fillId="0" borderId="0"/>
    <xf numFmtId="0" fontId="18" fillId="0" borderId="0"/>
    <xf numFmtId="0" fontId="16" fillId="0" borderId="0"/>
    <xf numFmtId="9" fontId="16" fillId="0" borderId="0" applyFont="0" applyFill="0" applyBorder="0" applyAlignment="0" applyProtection="0"/>
    <xf numFmtId="9" fontId="2" fillId="0" borderId="0" applyFont="0" applyFill="0" applyBorder="0" applyAlignment="0" applyProtection="0"/>
  </cellStyleXfs>
  <cellXfs count="125">
    <xf numFmtId="0" fontId="0" fillId="0" borderId="0" xfId="0"/>
    <xf numFmtId="0" fontId="6" fillId="0" borderId="0" xfId="0" applyFont="1" applyAlignment="1">
      <alignment wrapText="1"/>
    </xf>
    <xf numFmtId="0" fontId="6" fillId="0" borderId="0" xfId="0" applyFont="1"/>
    <xf numFmtId="0" fontId="6" fillId="0" borderId="0" xfId="0" applyFont="1" applyAlignment="1">
      <alignment readingOrder="1"/>
    </xf>
    <xf numFmtId="0" fontId="8" fillId="0" borderId="0" xfId="0" applyFont="1" applyAlignment="1">
      <alignment horizontal="left" wrapText="1" readingOrder="1"/>
    </xf>
    <xf numFmtId="0" fontId="0" fillId="0" borderId="0" xfId="0" applyAlignment="1">
      <alignment horizontal="right"/>
    </xf>
    <xf numFmtId="165" fontId="4" fillId="0" borderId="0" xfId="2" applyNumberFormat="1" applyFill="1" applyBorder="1" applyAlignment="1">
      <alignment horizontal="center" readingOrder="1"/>
    </xf>
    <xf numFmtId="0" fontId="0" fillId="0" borderId="0" xfId="0" applyAlignment="1">
      <alignment horizontal="center"/>
    </xf>
    <xf numFmtId="0" fontId="3" fillId="0" borderId="0" xfId="0" applyFont="1" applyAlignment="1">
      <alignment horizontal="left" vertical="center"/>
    </xf>
    <xf numFmtId="0" fontId="8" fillId="0" borderId="0" xfId="0" applyFont="1" applyAlignment="1">
      <alignment horizontal="left" vertical="top"/>
    </xf>
    <xf numFmtId="0" fontId="8" fillId="0" borderId="0" xfId="0" applyFont="1" applyAlignment="1">
      <alignment horizontal="left" vertical="top" wrapText="1"/>
    </xf>
    <xf numFmtId="9" fontId="126" fillId="0" borderId="0" xfId="20526">
      <alignment horizontal="right"/>
    </xf>
    <xf numFmtId="165" fontId="8" fillId="0" borderId="0" xfId="0" applyNumberFormat="1" applyFont="1" applyAlignment="1">
      <alignment horizontal="right" vertical="top" wrapText="1" readingOrder="1"/>
    </xf>
    <xf numFmtId="0" fontId="6" fillId="0" borderId="0" xfId="0" applyFont="1" applyAlignment="1">
      <alignment horizontal="left" vertical="center"/>
    </xf>
    <xf numFmtId="0" fontId="6" fillId="0" borderId="0" xfId="0" applyFont="1" applyAlignment="1">
      <alignment vertical="top" readingOrder="1"/>
    </xf>
    <xf numFmtId="0" fontId="4" fillId="0" borderId="0" xfId="2" applyFill="1" applyBorder="1" applyAlignment="1">
      <alignment horizontal="left" wrapText="1" readingOrder="1"/>
    </xf>
    <xf numFmtId="0" fontId="6" fillId="0" borderId="0" xfId="0" applyFont="1" applyAlignment="1">
      <alignment horizontal="left" wrapText="1"/>
    </xf>
    <xf numFmtId="0" fontId="6" fillId="0" borderId="0" xfId="0" applyFont="1" applyAlignment="1">
      <alignment vertical="top" wrapText="1"/>
    </xf>
    <xf numFmtId="0" fontId="3" fillId="0" borderId="0" xfId="1"/>
    <xf numFmtId="0" fontId="166" fillId="0" borderId="0" xfId="0" applyFont="1" applyAlignment="1">
      <alignment horizontal="left" vertical="top"/>
    </xf>
    <xf numFmtId="0" fontId="167" fillId="0" borderId="0" xfId="0" applyFont="1" applyAlignment="1">
      <alignment horizontal="left" vertical="top"/>
    </xf>
    <xf numFmtId="0" fontId="8" fillId="0" borderId="0" xfId="0" applyFont="1" applyAlignment="1">
      <alignment readingOrder="1"/>
    </xf>
    <xf numFmtId="0" fontId="8" fillId="0" borderId="0" xfId="0" applyFont="1"/>
    <xf numFmtId="0" fontId="3" fillId="0" borderId="0" xfId="1" applyAlignment="1">
      <alignment wrapText="1" readingOrder="1"/>
    </xf>
    <xf numFmtId="0" fontId="6" fillId="0" borderId="0" xfId="0" applyFont="1" applyAlignment="1">
      <alignment horizontal="left" readingOrder="1"/>
    </xf>
    <xf numFmtId="0" fontId="164" fillId="0" borderId="0" xfId="0" applyFont="1" applyAlignment="1">
      <alignment readingOrder="1"/>
    </xf>
    <xf numFmtId="0" fontId="7" fillId="0" borderId="0" xfId="4" applyAlignment="1">
      <alignment vertical="top" wrapText="1"/>
    </xf>
    <xf numFmtId="0" fontId="6" fillId="0" borderId="0" xfId="5" applyFont="1" applyAlignment="1">
      <alignment horizontal="left" vertical="top" wrapText="1"/>
    </xf>
    <xf numFmtId="0" fontId="7" fillId="0" borderId="0" xfId="4" applyFill="1" applyAlignment="1">
      <alignment wrapText="1"/>
    </xf>
    <xf numFmtId="0" fontId="4" fillId="0" borderId="0" xfId="0" applyFont="1" applyAlignment="1">
      <alignment vertical="top" wrapText="1"/>
    </xf>
    <xf numFmtId="0" fontId="165" fillId="0" borderId="0" xfId="4" applyFont="1" applyAlignment="1">
      <alignment vertical="top" wrapText="1"/>
    </xf>
    <xf numFmtId="0" fontId="4" fillId="0" borderId="0" xfId="5" applyFont="1" applyAlignment="1">
      <alignment horizontal="left" vertical="top" wrapText="1"/>
    </xf>
    <xf numFmtId="0" fontId="4" fillId="0" borderId="0" xfId="2" applyBorder="1" applyAlignment="1">
      <alignment wrapText="1"/>
    </xf>
    <xf numFmtId="0" fontId="4" fillId="0" borderId="0" xfId="2" applyAlignment="1">
      <alignment wrapText="1"/>
    </xf>
    <xf numFmtId="0" fontId="169" fillId="0" borderId="0" xfId="0" applyFont="1" applyAlignment="1">
      <alignment horizontal="left" wrapText="1" readingOrder="1"/>
    </xf>
    <xf numFmtId="0" fontId="169" fillId="0" borderId="53" xfId="0" applyFont="1" applyBorder="1" applyAlignment="1">
      <alignment horizontal="left" wrapText="1" readingOrder="1"/>
    </xf>
    <xf numFmtId="0" fontId="170" fillId="0" borderId="0" xfId="0" applyFont="1"/>
    <xf numFmtId="0" fontId="163" fillId="0" borderId="0" xfId="0" applyFont="1" applyAlignment="1">
      <alignment wrapText="1" readingOrder="1"/>
    </xf>
    <xf numFmtId="0" fontId="6" fillId="0" borderId="0" xfId="0" applyFont="1" applyAlignment="1">
      <alignment horizontal="right" wrapText="1" readingOrder="1"/>
    </xf>
    <xf numFmtId="3" fontId="164" fillId="0" borderId="0" xfId="0" applyNumberFormat="1" applyFont="1" applyAlignment="1">
      <alignment horizontal="right" wrapText="1" readingOrder="1"/>
    </xf>
    <xf numFmtId="0" fontId="8" fillId="0" borderId="53" xfId="0" applyFont="1" applyBorder="1" applyAlignment="1">
      <alignment horizontal="left" wrapText="1" readingOrder="1"/>
    </xf>
    <xf numFmtId="0" fontId="0" fillId="0" borderId="55" xfId="0" applyBorder="1"/>
    <xf numFmtId="0" fontId="0" fillId="0" borderId="56" xfId="0" applyBorder="1"/>
    <xf numFmtId="0" fontId="0" fillId="0" borderId="57" xfId="0" applyBorder="1"/>
    <xf numFmtId="0" fontId="0" fillId="0" borderId="0" xfId="0" pivotButton="1"/>
    <xf numFmtId="0" fontId="0" fillId="0" borderId="0" xfId="0" applyAlignment="1">
      <alignment horizontal="left"/>
    </xf>
    <xf numFmtId="0" fontId="172" fillId="0" borderId="0" xfId="0" applyFont="1" applyAlignment="1">
      <alignment readingOrder="1"/>
    </xf>
    <xf numFmtId="0" fontId="163" fillId="0" borderId="0" xfId="0" applyFont="1" applyAlignment="1">
      <alignment readingOrder="1"/>
    </xf>
    <xf numFmtId="165" fontId="8" fillId="0" borderId="58" xfId="0" applyNumberFormat="1" applyFont="1" applyBorder="1" applyAlignment="1">
      <alignment horizontal="right" vertical="top" wrapText="1" readingOrder="1"/>
    </xf>
    <xf numFmtId="3" fontId="164" fillId="0" borderId="59" xfId="0" applyNumberFormat="1" applyFont="1" applyBorder="1" applyAlignment="1">
      <alignment horizontal="right" wrapText="1" readingOrder="1"/>
    </xf>
    <xf numFmtId="3" fontId="164" fillId="0" borderId="58" xfId="0" applyNumberFormat="1" applyFont="1" applyBorder="1" applyAlignment="1">
      <alignment horizontal="right" wrapText="1" readingOrder="1"/>
    </xf>
    <xf numFmtId="3" fontId="164" fillId="0" borderId="60" xfId="0" applyNumberFormat="1" applyFont="1" applyBorder="1" applyAlignment="1">
      <alignment horizontal="right" wrapText="1" readingOrder="1"/>
    </xf>
    <xf numFmtId="0" fontId="6" fillId="0" borderId="58" xfId="0" applyFont="1" applyBorder="1" applyAlignment="1">
      <alignment horizontal="right" wrapText="1" readingOrder="1"/>
    </xf>
    <xf numFmtId="2" fontId="6" fillId="0" borderId="58" xfId="0" applyNumberFormat="1" applyFont="1" applyBorder="1" applyAlignment="1">
      <alignment horizontal="right" wrapText="1" readingOrder="1"/>
    </xf>
    <xf numFmtId="0" fontId="174" fillId="115" borderId="0" xfId="0" applyFont="1" applyFill="1"/>
    <xf numFmtId="0" fontId="175" fillId="115" borderId="0" xfId="0" applyFont="1" applyFill="1"/>
    <xf numFmtId="0" fontId="0" fillId="115" borderId="0" xfId="0" applyFill="1"/>
    <xf numFmtId="0" fontId="0" fillId="0" borderId="62" xfId="0" applyBorder="1"/>
    <xf numFmtId="0" fontId="0" fillId="0" borderId="63" xfId="0" applyBorder="1"/>
    <xf numFmtId="0" fontId="170" fillId="0" borderId="64" xfId="0" applyFont="1" applyBorder="1"/>
    <xf numFmtId="2" fontId="0" fillId="0" borderId="0" xfId="55011" applyNumberFormat="1" applyFont="1"/>
    <xf numFmtId="9" fontId="0" fillId="0" borderId="0" xfId="55011" applyFont="1"/>
    <xf numFmtId="0" fontId="10" fillId="0" borderId="0" xfId="0" applyFont="1"/>
    <xf numFmtId="0" fontId="10" fillId="0" borderId="56" xfId="0" applyFont="1" applyBorder="1"/>
    <xf numFmtId="3" fontId="10" fillId="0" borderId="56" xfId="0" applyNumberFormat="1" applyFont="1" applyBorder="1" applyAlignment="1">
      <alignment horizontal="center"/>
    </xf>
    <xf numFmtId="3" fontId="10" fillId="0" borderId="66" xfId="0" applyNumberFormat="1" applyFont="1" applyBorder="1" applyAlignment="1">
      <alignment horizontal="center"/>
    </xf>
    <xf numFmtId="3" fontId="10" fillId="0" borderId="0" xfId="0" applyNumberFormat="1" applyFont="1" applyAlignment="1">
      <alignment horizontal="center"/>
    </xf>
    <xf numFmtId="3" fontId="10" fillId="0" borderId="67" xfId="0" applyNumberFormat="1" applyFont="1" applyBorder="1" applyAlignment="1">
      <alignment horizontal="center"/>
    </xf>
    <xf numFmtId="4" fontId="175" fillId="0" borderId="56" xfId="0" applyNumberFormat="1" applyFont="1" applyBorder="1" applyAlignment="1">
      <alignment horizontal="center"/>
    </xf>
    <xf numFmtId="4" fontId="175" fillId="0" borderId="66" xfId="0" applyNumberFormat="1" applyFont="1" applyBorder="1" applyAlignment="1">
      <alignment horizontal="center"/>
    </xf>
    <xf numFmtId="4" fontId="10" fillId="0" borderId="56" xfId="0" applyNumberFormat="1" applyFont="1" applyBorder="1" applyAlignment="1">
      <alignment horizontal="center"/>
    </xf>
    <xf numFmtId="4" fontId="10" fillId="0" borderId="66" xfId="0" applyNumberFormat="1" applyFont="1" applyBorder="1" applyAlignment="1">
      <alignment horizontal="center"/>
    </xf>
    <xf numFmtId="0" fontId="176" fillId="116" borderId="68" xfId="0" applyFont="1" applyFill="1" applyBorder="1" applyAlignment="1">
      <alignment horizontal="center" vertical="top"/>
    </xf>
    <xf numFmtId="0" fontId="176" fillId="116" borderId="69" xfId="0" applyFont="1" applyFill="1" applyBorder="1" applyAlignment="1">
      <alignment horizontal="center" vertical="top"/>
    </xf>
    <xf numFmtId="165" fontId="176" fillId="116" borderId="69" xfId="0" applyNumberFormat="1" applyFont="1" applyFill="1" applyBorder="1" applyAlignment="1">
      <alignment horizontal="center" vertical="top" wrapText="1" readingOrder="1"/>
    </xf>
    <xf numFmtId="165" fontId="176" fillId="116" borderId="70" xfId="0" applyNumberFormat="1" applyFont="1" applyFill="1" applyBorder="1" applyAlignment="1">
      <alignment horizontal="center" vertical="top" wrapText="1" readingOrder="1"/>
    </xf>
    <xf numFmtId="165" fontId="176" fillId="116" borderId="65" xfId="0" applyNumberFormat="1" applyFont="1" applyFill="1" applyBorder="1" applyAlignment="1">
      <alignment horizontal="center" vertical="top" wrapText="1" readingOrder="1"/>
    </xf>
    <xf numFmtId="0" fontId="171" fillId="0" borderId="0" xfId="0" applyFont="1" applyAlignment="1">
      <alignment horizontal="center" vertical="top"/>
    </xf>
    <xf numFmtId="2" fontId="0" fillId="0" borderId="63" xfId="0" applyNumberFormat="1" applyBorder="1"/>
    <xf numFmtId="2" fontId="0" fillId="0" borderId="0" xfId="0" applyNumberFormat="1"/>
    <xf numFmtId="2" fontId="6" fillId="0" borderId="0" xfId="0" applyNumberFormat="1" applyFont="1" applyAlignment="1">
      <alignment horizontal="right" wrapText="1" readingOrder="1"/>
    </xf>
    <xf numFmtId="9" fontId="177" fillId="0" borderId="0" xfId="55011" applyFont="1"/>
    <xf numFmtId="0" fontId="177" fillId="0" borderId="0" xfId="0" applyFont="1"/>
    <xf numFmtId="0" fontId="163" fillId="0" borderId="0" xfId="0" applyFont="1" applyAlignment="1">
      <alignment vertical="top" wrapText="1" readingOrder="1"/>
    </xf>
    <xf numFmtId="3" fontId="164" fillId="0" borderId="53" xfId="0" applyNumberFormat="1" applyFont="1" applyBorder="1" applyAlignment="1">
      <alignment horizontal="right" wrapText="1" readingOrder="1"/>
    </xf>
    <xf numFmtId="0" fontId="164" fillId="0" borderId="0" xfId="0" applyFont="1" applyAlignment="1">
      <alignment horizontal="right" wrapText="1" readingOrder="1"/>
    </xf>
    <xf numFmtId="3" fontId="164" fillId="0" borderId="54" xfId="0" applyNumberFormat="1" applyFont="1" applyBorder="1" applyAlignment="1">
      <alignment horizontal="right" wrapText="1" readingOrder="1"/>
    </xf>
    <xf numFmtId="0" fontId="3" fillId="0" borderId="0" xfId="1" applyFill="1" applyAlignment="1">
      <alignment horizontal="left" readingOrder="1"/>
    </xf>
    <xf numFmtId="0" fontId="3" fillId="0" borderId="0" xfId="1" applyFill="1" applyAlignment="1">
      <alignment readingOrder="1"/>
    </xf>
    <xf numFmtId="0" fontId="6" fillId="0" borderId="0" xfId="0" applyFont="1" applyAlignment="1">
      <alignment horizontal="left" vertical="top" readingOrder="1"/>
    </xf>
    <xf numFmtId="0" fontId="164" fillId="0" borderId="0" xfId="0" applyFont="1" applyAlignment="1">
      <alignment horizontal="left" readingOrder="1"/>
    </xf>
    <xf numFmtId="3" fontId="162" fillId="0" borderId="58" xfId="0" applyNumberFormat="1" applyFont="1" applyBorder="1" applyAlignment="1">
      <alignment horizontal="right"/>
    </xf>
    <xf numFmtId="1" fontId="6" fillId="0" borderId="0" xfId="0" applyNumberFormat="1" applyFont="1" applyAlignment="1">
      <alignment horizontal="right" wrapText="1" readingOrder="1"/>
    </xf>
    <xf numFmtId="1" fontId="0" fillId="0" borderId="0" xfId="0" applyNumberFormat="1"/>
    <xf numFmtId="1" fontId="0" fillId="0" borderId="0" xfId="55011" applyNumberFormat="1" applyFont="1"/>
    <xf numFmtId="0" fontId="8" fillId="0" borderId="0" xfId="0" applyFont="1" applyAlignment="1">
      <alignment horizontal="left" wrapText="1"/>
    </xf>
    <xf numFmtId="3" fontId="164" fillId="0" borderId="58" xfId="0" applyNumberFormat="1" applyFont="1" applyBorder="1" applyAlignment="1">
      <alignment horizontal="right" readingOrder="1"/>
    </xf>
    <xf numFmtId="3" fontId="6" fillId="0" borderId="60" xfId="0" applyNumberFormat="1" applyFont="1" applyBorder="1" applyAlignment="1">
      <alignment horizontal="right" wrapText="1" readingOrder="1"/>
    </xf>
    <xf numFmtId="3" fontId="6" fillId="0" borderId="61" xfId="0" applyNumberFormat="1" applyFont="1" applyBorder="1" applyAlignment="1">
      <alignment horizontal="right" wrapText="1" readingOrder="1"/>
    </xf>
    <xf numFmtId="3" fontId="6" fillId="0" borderId="53" xfId="0" applyNumberFormat="1" applyFont="1" applyBorder="1" applyAlignment="1">
      <alignment horizontal="right" wrapText="1" readingOrder="1"/>
    </xf>
    <xf numFmtId="9" fontId="169" fillId="0" borderId="0" xfId="20526" applyFont="1" applyAlignment="1">
      <alignment horizontal="left" wrapText="1" readingOrder="1"/>
    </xf>
    <xf numFmtId="9" fontId="0" fillId="0" borderId="0" xfId="0" applyNumberFormat="1"/>
    <xf numFmtId="4" fontId="175" fillId="0" borderId="0" xfId="0" applyNumberFormat="1" applyFont="1" applyAlignment="1">
      <alignment horizontal="center"/>
    </xf>
    <xf numFmtId="4" fontId="175" fillId="0" borderId="67" xfId="0" applyNumberFormat="1" applyFont="1" applyBorder="1" applyAlignment="1">
      <alignment horizontal="center"/>
    </xf>
    <xf numFmtId="4" fontId="10" fillId="0" borderId="0" xfId="0" applyNumberFormat="1" applyFont="1" applyAlignment="1">
      <alignment horizontal="center"/>
    </xf>
    <xf numFmtId="4" fontId="10" fillId="0" borderId="67" xfId="0" applyNumberFormat="1" applyFont="1" applyBorder="1" applyAlignment="1">
      <alignment horizontal="center"/>
    </xf>
    <xf numFmtId="3" fontId="163" fillId="0" borderId="71" xfId="0" applyNumberFormat="1" applyFont="1" applyBorder="1" applyAlignment="1">
      <alignment horizontal="right" wrapText="1" readingOrder="1"/>
    </xf>
    <xf numFmtId="3" fontId="163" fillId="0" borderId="0" xfId="0" applyNumberFormat="1" applyFont="1" applyAlignment="1">
      <alignment horizontal="right" wrapText="1" readingOrder="1"/>
    </xf>
    <xf numFmtId="0" fontId="180" fillId="0" borderId="0" xfId="0" applyFont="1"/>
    <xf numFmtId="0" fontId="7" fillId="0" borderId="0" xfId="4" applyFill="1" applyBorder="1" applyAlignment="1">
      <alignment wrapText="1"/>
    </xf>
    <xf numFmtId="3" fontId="164" fillId="0" borderId="0" xfId="20526" applyNumberFormat="1" applyFont="1" applyAlignment="1">
      <alignment horizontal="right" wrapText="1" readingOrder="1"/>
    </xf>
    <xf numFmtId="0" fontId="7" fillId="0" borderId="0" xfId="4" applyFill="1"/>
    <xf numFmtId="0" fontId="7" fillId="0" borderId="0" xfId="4" applyFill="1" applyAlignment="1">
      <alignment vertical="top" wrapText="1"/>
    </xf>
    <xf numFmtId="0" fontId="7" fillId="0" borderId="0" xfId="4" applyFill="1" applyAlignment="1">
      <alignment readingOrder="1"/>
    </xf>
    <xf numFmtId="0" fontId="10" fillId="0" borderId="8" xfId="0" applyFont="1" applyBorder="1"/>
    <xf numFmtId="0" fontId="7" fillId="0" borderId="0" xfId="4"/>
    <xf numFmtId="165" fontId="8" fillId="0" borderId="0" xfId="0" applyNumberFormat="1" applyFont="1" applyAlignment="1">
      <alignment horizontal="right" wrapText="1" readingOrder="1"/>
    </xf>
    <xf numFmtId="3" fontId="162" fillId="0" borderId="58" xfId="0" applyNumberFormat="1" applyFont="1" applyBorder="1"/>
    <xf numFmtId="3" fontId="162" fillId="0" borderId="60" xfId="0" applyNumberFormat="1" applyFont="1" applyBorder="1"/>
    <xf numFmtId="0" fontId="162" fillId="0" borderId="58" xfId="0" applyFont="1" applyBorder="1" applyAlignment="1">
      <alignment horizontal="right"/>
    </xf>
    <xf numFmtId="0" fontId="162" fillId="0" borderId="60" xfId="0" applyFont="1" applyBorder="1" applyAlignment="1">
      <alignment horizontal="right"/>
    </xf>
    <xf numFmtId="1" fontId="6" fillId="0" borderId="58" xfId="0" applyNumberFormat="1" applyFont="1" applyBorder="1" applyAlignment="1">
      <alignment horizontal="right" wrapText="1" readingOrder="1"/>
    </xf>
    <xf numFmtId="2" fontId="6" fillId="0" borderId="0" xfId="20526" applyNumberFormat="1" applyFont="1" applyAlignment="1">
      <alignment horizontal="right" wrapText="1" readingOrder="1"/>
    </xf>
    <xf numFmtId="1" fontId="163" fillId="0" borderId="71" xfId="0" applyNumberFormat="1" applyFont="1" applyBorder="1" applyAlignment="1">
      <alignment horizontal="right" wrapText="1" readingOrder="1"/>
    </xf>
    <xf numFmtId="1" fontId="163" fillId="0" borderId="0" xfId="0" applyNumberFormat="1" applyFont="1" applyAlignment="1">
      <alignment horizontal="right" wrapText="1" readingOrder="1"/>
    </xf>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 cent" xfId="55011" builtinId="5"/>
    <cellStyle name="Perc0_Cal" xfId="600" xr:uid="{F24291EB-E25E-4B78-B532-8D267AC07D9B}"/>
    <cellStyle name="Perc1_Cal" xfId="601" xr:uid="{3D024EA9-4232-4885-8559-AD6993743DD6}"/>
    <cellStyle name="Perc2_Cal" xfId="602" xr:uid="{02A7D571-B83C-48CB-9DC0-CA96AC7C4F1C}"/>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90">
    <dxf>
      <font>
        <b val="0"/>
        <i val="0"/>
        <strike val="0"/>
        <condense val="0"/>
        <extend val="0"/>
        <outline val="0"/>
        <shadow val="0"/>
        <u val="none"/>
        <vertAlign val="baseline"/>
        <sz val="11"/>
        <color theme="1"/>
        <name val="Calibri"/>
        <family val="2"/>
        <scheme val="none"/>
      </font>
      <fill>
        <patternFill patternType="none">
          <fgColor indexed="64"/>
          <bgColor indexed="65"/>
        </patternFill>
      </fill>
      <border diagonalUp="0" diagonalDown="0">
        <left/>
        <right/>
        <top/>
        <bottom style="medium">
          <color indexed="64"/>
        </bottom>
        <vertical/>
        <horizontal/>
      </border>
    </dxf>
    <dxf>
      <font>
        <b val="0"/>
        <i val="0"/>
        <strike val="0"/>
        <condense val="0"/>
        <extend val="0"/>
        <outline val="0"/>
        <shadow val="0"/>
        <u val="none"/>
        <vertAlign val="baseline"/>
        <sz val="11"/>
        <color theme="1"/>
        <name val="Calibri"/>
        <family val="2"/>
        <scheme val="none"/>
      </font>
      <fill>
        <patternFill patternType="none">
          <fgColor indexed="64"/>
          <bgColor indexed="65"/>
        </patternFill>
      </fill>
      <border diagonalUp="0" diagonalDown="0">
        <left/>
        <right/>
        <top/>
        <bottom style="medium">
          <color indexed="64"/>
        </bottom>
        <vertical/>
        <horizontal/>
      </border>
    </dxf>
    <dxf>
      <border outline="0">
        <bottom style="medium">
          <color indexed="64"/>
        </bottom>
      </border>
    </dxf>
    <dxf>
      <font>
        <b/>
        <i val="0"/>
        <strike val="0"/>
        <condense val="0"/>
        <extend val="0"/>
        <outline val="0"/>
        <shadow val="0"/>
        <u val="none"/>
        <vertAlign val="baseline"/>
        <sz val="10"/>
        <color theme="0"/>
        <name val="Calibri"/>
        <family val="2"/>
        <scheme val="none"/>
      </font>
      <numFmt numFmtId="165" formatCode="0.0"/>
      <fill>
        <patternFill patternType="solid">
          <fgColor theme="4"/>
          <bgColor theme="4"/>
        </patternFill>
      </fill>
      <alignment horizontal="center" vertical="top" textRotation="0" wrapText="1" indent="0" justifyLastLine="0" shrinkToFit="0" readingOrder="1"/>
      <border diagonalUp="0" diagonalDown="0" outline="0">
        <left style="thin">
          <color indexed="64"/>
        </left>
        <right style="thin">
          <color indexed="64"/>
        </right>
        <top/>
        <bottom/>
      </border>
    </dxf>
    <dxf>
      <numFmt numFmtId="3" formatCode="#,##0"/>
    </dxf>
    <dxf>
      <font>
        <b val="0"/>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border diagonalUp="0" diagonalDown="0">
        <left/>
        <right style="thick">
          <color indexed="64"/>
        </right>
        <top/>
        <bottom/>
        <vertical/>
        <horizontal/>
      </border>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border outline="0">
        <left style="thick">
          <color indexed="64"/>
        </left>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outline="0">
        <left/>
        <right style="thick">
          <color indexed="64"/>
        </right>
      </border>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bottom" textRotation="0" wrapText="0" indent="0" justifyLastLine="0" shrinkToFit="0" readingOrder="0"/>
      <border diagonalUp="0" diagonalDown="0">
        <left/>
        <right style="thick">
          <color indexed="64"/>
        </right>
        <vertical/>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left/>
        <right style="thick">
          <color indexed="64"/>
        </right>
        <vertical/>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left/>
        <right style="thick">
          <color indexed="64"/>
        </right>
        <vertical/>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border diagonalUp="0" diagonalDown="0">
        <left/>
        <right style="thick">
          <color indexed="64"/>
        </right>
        <vertical/>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strike val="0"/>
        <outline val="0"/>
        <shadow val="0"/>
        <u val="none"/>
        <vertAlign val="baseline"/>
        <sz val="12"/>
        <color auto="1"/>
        <name val="Calibri"/>
        <family val="2"/>
        <scheme val="none"/>
      </font>
      <alignment horizontal="right" vertical="bottom" textRotation="0" indent="0" justifyLastLine="0" shrinkToFit="0" readingOrder="1"/>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numFmt numFmtId="3" formatCode="#,##0"/>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3" formatCode="#,##0"/>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border diagonalUp="0" diagonalDown="0">
        <left/>
        <right/>
        <top/>
        <bottom style="thick">
          <color indexed="64"/>
        </bottom>
        <vertical/>
        <horizontal/>
      </border>
    </dxf>
    <dxf>
      <font>
        <b val="0"/>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strike val="0"/>
        <outline val="0"/>
        <shadow val="0"/>
        <u val="none"/>
        <vertAlign val="baseline"/>
        <sz val="12"/>
        <color auto="1"/>
        <name val="Calibri"/>
        <family val="2"/>
        <scheme val="none"/>
      </font>
      <numFmt numFmtId="3" formatCode="#,##0"/>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right/>
        <top/>
        <bottom style="thick">
          <color indexed="64"/>
        </bottom>
      </border>
    </dxf>
    <dxf>
      <font>
        <strike val="0"/>
        <outline val="0"/>
        <shadow val="0"/>
        <u val="none"/>
        <vertAlign val="baseline"/>
        <sz val="12"/>
        <color auto="1"/>
        <name val="Calibri"/>
        <family val="2"/>
        <scheme val="none"/>
      </font>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lef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left" vertical="bottom" textRotation="0" wrapText="1" indent="0" justifyLastLine="0" shrinkToFit="0" readingOrder="0"/>
    </dxf>
    <dxf>
      <fill>
        <patternFill patternType="none">
          <fgColor indexed="64"/>
          <bgColor auto="1"/>
        </patternFill>
      </fill>
    </dxf>
    <dxf>
      <alignment vertical="bottom" textRotation="0" wrapText="1" indent="0" justifyLastLine="0" shrinkToFit="0" readingOrder="0"/>
    </dxf>
    <dxf>
      <font>
        <b val="0"/>
      </font>
    </dxf>
    <dxf>
      <numFmt numFmtId="2" formatCode="0.00"/>
    </dxf>
  </dxfs>
  <tableStyles count="2" defaultTableStyle="TableStyleMedium2" defaultPivotStyle="PivotStyleLight16">
    <tableStyle name="indicators" pivot="0" table="0" count="6" xr9:uid="{40CDB037-466C-4CD4-B779-59C5BE30B104}"/>
    <tableStyle name="Slicer Style 1" pivot="0" table="0" count="6" xr9:uid="{D115F975-698D-4184-AF74-8AEE4E1A7317}"/>
  </tableStyles>
  <colors>
    <mruColors>
      <color rgb="FF702472"/>
      <color rgb="FF253268"/>
      <color rgb="FF9C46A3"/>
      <color rgb="FF8392C3"/>
      <color rgb="FFEA0000"/>
      <color rgb="FF8787C9"/>
      <color rgb="FFA5AFD3"/>
      <color rgb="FF808080"/>
      <color rgb="FF0000FF"/>
    </mruColors>
  </colors>
  <extLst>
    <ext xmlns:x14="http://schemas.microsoft.com/office/spreadsheetml/2009/9/main" uri="{46F421CA-312F-682f-3DD2-61675219B42D}">
      <x14:dxfs count="12">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2" tint="-0.499984740745262"/>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indicators">
          <x14:slicerStyleElements>
            <x14:slicerStyleElement type="unselectedItemWithData" dxfId="11"/>
            <x14:slicerStyleElement type="unselectedItemWithNoData" dxfId="10"/>
            <x14:slicerStyleElement type="selectedItemWithData" dxfId="9"/>
            <x14:slicerStyleElement type="hoveredUnselectedItemWithData" dxfId="8"/>
            <x14:slicerStyleElement type="hoveredSelectedItemWithData" dxfId="7"/>
            <x14:slicerStyleElement type="hoveredSelectedItemWithNoData" dxfId="6"/>
          </x14:slicerStyleElements>
        </x14:slicerStyle>
        <x14:slicerStyle name="Slicer Style 1">
          <x14:slicerStyleElements>
            <x14:slicerStyleElement type="unselectedItemWithData" dxfId="5"/>
            <x14:slicerStyleElement type="unselectedItemWithNoData" dxfId="4"/>
            <x14:slicerStyleElement type="selectedItemWithData" dxfId="3"/>
            <x14:slicerStyleElement type="hoveredUnselectedItemWithData" dxfId="2"/>
            <x14:slicerStyleElement type="hovered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microsoft.com/office/2007/relationships/slicerCache" Target="slicerCaches/slicerCache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0</xdr:col>
      <xdr:colOff>31750</xdr:colOff>
      <xdr:row>0</xdr:row>
      <xdr:rowOff>12701</xdr:rowOff>
    </xdr:from>
    <xdr:to>
      <xdr:col>7</xdr:col>
      <xdr:colOff>285112</xdr:colOff>
      <xdr:row>2</xdr:row>
      <xdr:rowOff>57150</xdr:rowOff>
    </xdr:to>
    <mc:AlternateContent xmlns:mc="http://schemas.openxmlformats.org/markup-compatibility/2006" xmlns:a14="http://schemas.microsoft.com/office/drawing/2010/main">
      <mc:Choice Requires="a14">
        <xdr:graphicFrame macro="">
          <xdr:nvGraphicFramePr>
            <xdr:cNvPr id="2" name="Year 2">
              <a:extLst>
                <a:ext uri="{FF2B5EF4-FFF2-40B4-BE49-F238E27FC236}">
                  <a16:creationId xmlns:a16="http://schemas.microsoft.com/office/drawing/2014/main" id="{189E65F2-5F3F-2AF2-0767-0B40195A19E2}"/>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31750" y="12701"/>
              <a:ext cx="5149850" cy="4127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295275</xdr:colOff>
      <xdr:row>0</xdr:row>
      <xdr:rowOff>28576</xdr:rowOff>
    </xdr:from>
    <xdr:to>
      <xdr:col>29</xdr:col>
      <xdr:colOff>494026</xdr:colOff>
      <xdr:row>3</xdr:row>
      <xdr:rowOff>93345</xdr:rowOff>
    </xdr:to>
    <mc:AlternateContent xmlns:mc="http://schemas.openxmlformats.org/markup-compatibility/2006" xmlns:a14="http://schemas.microsoft.com/office/drawing/2010/main">
      <mc:Choice Requires="a14">
        <xdr:graphicFrame macro="">
          <xdr:nvGraphicFramePr>
            <xdr:cNvPr id="3" name="KPI 2">
              <a:extLst>
                <a:ext uri="{FF2B5EF4-FFF2-40B4-BE49-F238E27FC236}">
                  <a16:creationId xmlns:a16="http://schemas.microsoft.com/office/drawing/2014/main" id="{362B4ED1-1CB1-8937-FF0E-C08F93F5CA23}"/>
                </a:ext>
              </a:extLst>
            </xdr:cNvPr>
            <xdr:cNvGraphicFramePr/>
          </xdr:nvGraphicFramePr>
          <xdr:xfrm>
            <a:off x="0" y="0"/>
            <a:ext cx="0" cy="0"/>
          </xdr:xfrm>
          <a:graphic>
            <a:graphicData uri="http://schemas.microsoft.com/office/drawing/2010/slicer">
              <sle:slicer xmlns:sle="http://schemas.microsoft.com/office/drawing/2010/slicer" name="KPI 2"/>
            </a:graphicData>
          </a:graphic>
        </xdr:graphicFrame>
      </mc:Choice>
      <mc:Fallback xmlns="">
        <xdr:sp macro="" textlink="">
          <xdr:nvSpPr>
            <xdr:cNvPr id="0" name=""/>
            <xdr:cNvSpPr>
              <a:spLocks noTextEdit="1"/>
            </xdr:cNvSpPr>
          </xdr:nvSpPr>
          <xdr:spPr>
            <a:xfrm>
              <a:off x="7305675" y="28576"/>
              <a:ext cx="13163548" cy="6191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856.664293402777" createdVersion="8" refreshedVersion="8" minRefreshableVersion="3" recordCount="72" xr:uid="{22EEF0B8-48B7-4C05-971C-E630F41C9CF5}">
  <cacheSource type="worksheet">
    <worksheetSource name="Data"/>
  </cacheSource>
  <cacheFields count="9">
    <cacheField name="Year" numFmtId="0">
      <sharedItems containsMixedTypes="1" containsNumber="1" containsInteger="1" minValue="2030" maxValue="2035" count="18">
        <s v="2015"/>
        <s v="2016"/>
        <s v="2017"/>
        <s v="2018"/>
        <s v="2019"/>
        <s v="2020"/>
        <s v="2021"/>
        <s v="2022"/>
        <s v="2020-21"/>
        <s v="2021-22"/>
        <s v="2022-23"/>
        <s v="2023-24"/>
        <n v="2034" u="1"/>
        <n v="2032" u="1"/>
        <n v="2030" u="1"/>
        <n v="2035" u="1"/>
        <n v="2033" u="1"/>
        <n v="2031" u="1"/>
      </sharedItems>
    </cacheField>
    <cacheField name="KPI" numFmtId="0">
      <sharedItems count="11">
        <s v="The number of people killed or seriously injured (KSI)"/>
        <s v="Total number of people killed or injured"/>
        <s v="The number of non-motorised and motorcyclist users killed or injured"/>
        <s v=" The number of motorcyclists killed or injured"/>
        <s v=" The number of cyclists killed or injured"/>
        <s v="The number of pedestrians killed or injured"/>
        <s v="The number of equestrians killed or injured"/>
        <s v="The number of injury collisions"/>
        <s v="The accident frequency rate for National Highways staff"/>
        <s v=" The accident frequency rate for National Highways supply chain staff"/>
        <s v="The % of traffic using iRAP 3 or above rated roads"/>
      </sharedItems>
    </cacheField>
    <cacheField name="National Highways" numFmtId="0">
      <sharedItems containsMixedTypes="1" containsNumber="1" minValue="0" maxValue="16375"/>
    </cacheField>
    <cacheField name="Yorkshire and North East" numFmtId="0">
      <sharedItems containsMixedTypes="1" containsNumber="1" minValue="0" maxValue="1647"/>
    </cacheField>
    <cacheField name="North West_x000a_" numFmtId="0">
      <sharedItems containsMixedTypes="1" containsNumber="1" minValue="0" maxValue="1580"/>
    </cacheField>
    <cacheField name="Midlands_x000a_" numFmtId="0">
      <sharedItems containsMixedTypes="1" containsNumber="1" minValue="0" maxValue="1915"/>
    </cacheField>
    <cacheField name="East_x000a_" numFmtId="0">
      <sharedItems containsMixedTypes="1" containsNumber="1" minValue="0" maxValue="2036"/>
    </cacheField>
    <cacheField name="South East_x000a_" numFmtId="0">
      <sharedItems containsMixedTypes="1" containsNumber="1" minValue="0" maxValue="3919"/>
    </cacheField>
    <cacheField name="South West_x000a_" numFmtId="0">
      <sharedItems containsMixedTypes="1" containsNumber="1" minValue="0" maxValue="1250"/>
    </cacheField>
  </cacheFields>
  <extLst>
    <ext xmlns:x14="http://schemas.microsoft.com/office/spreadsheetml/2009/9/main" uri="{725AE2AE-9491-48be-B2B4-4EB974FC3084}">
      <x14:pivotCacheDefinition pivotCacheId="73659786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
  <r>
    <x v="0"/>
    <x v="0"/>
    <n v="2338"/>
    <n v="0"/>
    <n v="0"/>
    <n v="0"/>
    <n v="0"/>
    <n v="0"/>
    <n v="0"/>
  </r>
  <r>
    <x v="1"/>
    <x v="0"/>
    <n v="2281"/>
    <n v="0"/>
    <n v="0"/>
    <n v="0"/>
    <n v="0"/>
    <n v="0"/>
    <n v="0"/>
  </r>
  <r>
    <x v="2"/>
    <x v="0"/>
    <n v="2091"/>
    <n v="0"/>
    <n v="0"/>
    <n v="0"/>
    <n v="0"/>
    <n v="0"/>
    <n v="0"/>
  </r>
  <r>
    <x v="3"/>
    <x v="0"/>
    <n v="1297"/>
    <n v="0"/>
    <n v="0"/>
    <n v="0"/>
    <n v="0"/>
    <n v="0"/>
    <n v="0"/>
  </r>
  <r>
    <x v="4"/>
    <x v="0"/>
    <n v="2086"/>
    <n v="0"/>
    <n v="0"/>
    <n v="0"/>
    <n v="0"/>
    <n v="0"/>
    <n v="0"/>
  </r>
  <r>
    <x v="5"/>
    <x v="0"/>
    <n v="1415"/>
    <n v="0"/>
    <n v="0"/>
    <n v="0"/>
    <n v="0"/>
    <n v="0"/>
    <n v="0"/>
  </r>
  <r>
    <x v="6"/>
    <x v="0"/>
    <n v="1832"/>
    <n v="0"/>
    <n v="0"/>
    <n v="0"/>
    <n v="0"/>
    <n v="0"/>
    <n v="0"/>
  </r>
  <r>
    <x v="7"/>
    <x v="0"/>
    <n v="1939"/>
    <n v="0"/>
    <n v="0"/>
    <n v="0"/>
    <n v="0"/>
    <n v="0"/>
    <n v="0"/>
  </r>
  <r>
    <x v="0"/>
    <x v="1"/>
    <n v="16375"/>
    <s v="[x]"/>
    <s v="[x]"/>
    <s v="[x]"/>
    <s v="[x]"/>
    <s v="[x]"/>
    <s v="[x]"/>
  </r>
  <r>
    <x v="1"/>
    <x v="1"/>
    <n v="16233"/>
    <s v="[x]"/>
    <s v="[x]"/>
    <s v="[x]"/>
    <s v="[x]"/>
    <s v="[x]"/>
    <s v="[x]"/>
  </r>
  <r>
    <x v="2"/>
    <x v="1"/>
    <n v="14225"/>
    <s v="[x]"/>
    <s v="[x]"/>
    <s v="[x]"/>
    <s v="[x]"/>
    <s v="[x]"/>
    <s v="[x]"/>
  </r>
  <r>
    <x v="3"/>
    <x v="1"/>
    <n v="13380"/>
    <s v="[x]"/>
    <s v="[x]"/>
    <s v="[x]"/>
    <s v="[x]"/>
    <s v="[x]"/>
    <s v="[x]"/>
  </r>
  <r>
    <x v="4"/>
    <x v="1"/>
    <n v="12347"/>
    <n v="1647"/>
    <n v="1580"/>
    <n v="1915"/>
    <n v="2036"/>
    <n v="3919"/>
    <n v="1250"/>
  </r>
  <r>
    <x v="5"/>
    <x v="1"/>
    <n v="7873"/>
    <n v="965"/>
    <n v="944"/>
    <n v="1316"/>
    <n v="1284"/>
    <n v="2598"/>
    <n v="766"/>
  </r>
  <r>
    <x v="6"/>
    <x v="1"/>
    <n v="9819"/>
    <n v="1322"/>
    <n v="1268"/>
    <n v="1743"/>
    <n v="1457"/>
    <n v="3016"/>
    <n v="1013"/>
  </r>
  <r>
    <x v="7"/>
    <x v="1"/>
    <n v="10406"/>
    <n v="1462"/>
    <n v="1216"/>
    <n v="1710"/>
    <n v="1595"/>
    <n v="3399"/>
    <n v="1024"/>
  </r>
  <r>
    <x v="0"/>
    <x v="2"/>
    <n v="1160"/>
    <s v="[x]"/>
    <s v="[x]"/>
    <s v="[x]"/>
    <s v="[x]"/>
    <s v="[x]"/>
    <s v="[x]"/>
  </r>
  <r>
    <x v="1"/>
    <x v="2"/>
    <n v="1170"/>
    <s v="[x]"/>
    <s v="[x]"/>
    <s v="[x]"/>
    <s v="[x]"/>
    <s v="[x]"/>
    <s v="[x]"/>
  </r>
  <r>
    <x v="2"/>
    <x v="2"/>
    <n v="1050"/>
    <s v="[x]"/>
    <s v="[x]"/>
    <s v="[x]"/>
    <s v="[x]"/>
    <s v="[x]"/>
    <s v="[x]"/>
  </r>
  <r>
    <x v="3"/>
    <x v="2"/>
    <n v="1036"/>
    <s v="[x]"/>
    <s v="[x]"/>
    <s v="[x]"/>
    <s v="[x]"/>
    <s v="[x]"/>
    <s v="[x]"/>
  </r>
  <r>
    <x v="4"/>
    <x v="2"/>
    <n v="962"/>
    <n v="118"/>
    <n v="78"/>
    <n v="192"/>
    <n v="128"/>
    <n v="333"/>
    <n v="113"/>
  </r>
  <r>
    <x v="5"/>
    <x v="2"/>
    <n v="605"/>
    <n v="74"/>
    <n v="57"/>
    <n v="103"/>
    <n v="91"/>
    <n v="196"/>
    <n v="84"/>
  </r>
  <r>
    <x v="6"/>
    <x v="2"/>
    <n v="803"/>
    <n v="73"/>
    <n v="68"/>
    <n v="156"/>
    <n v="142"/>
    <n v="252"/>
    <n v="112"/>
  </r>
  <r>
    <x v="7"/>
    <x v="2"/>
    <n v="834"/>
    <n v="80"/>
    <n v="86"/>
    <n v="163"/>
    <n v="127"/>
    <n v="273"/>
    <n v="105"/>
  </r>
  <r>
    <x v="0"/>
    <x v="3"/>
    <n v="849"/>
    <n v="0"/>
    <n v="0"/>
    <n v="0"/>
    <n v="0"/>
    <n v="0"/>
    <n v="0"/>
  </r>
  <r>
    <x v="1"/>
    <x v="3"/>
    <n v="864"/>
    <n v="0"/>
    <n v="0"/>
    <n v="0"/>
    <n v="0"/>
    <n v="0"/>
    <n v="0"/>
  </r>
  <r>
    <x v="2"/>
    <x v="3"/>
    <n v="760"/>
    <n v="0"/>
    <n v="0"/>
    <n v="0"/>
    <n v="0"/>
    <n v="0"/>
    <n v="0"/>
  </r>
  <r>
    <x v="3"/>
    <x v="3"/>
    <n v="785"/>
    <n v="0"/>
    <n v="0"/>
    <n v="0"/>
    <n v="0"/>
    <n v="0"/>
    <n v="0"/>
  </r>
  <r>
    <x v="4"/>
    <x v="3"/>
    <n v="694"/>
    <n v="0"/>
    <n v="0"/>
    <n v="0"/>
    <n v="0"/>
    <n v="0"/>
    <n v="0"/>
  </r>
  <r>
    <x v="5"/>
    <x v="3"/>
    <n v="404"/>
    <n v="0"/>
    <n v="0"/>
    <n v="0"/>
    <n v="0"/>
    <n v="0"/>
    <n v="0"/>
  </r>
  <r>
    <x v="6"/>
    <x v="3"/>
    <n v="547"/>
    <n v="0"/>
    <n v="0"/>
    <n v="0"/>
    <n v="0"/>
    <n v="0"/>
    <n v="0"/>
  </r>
  <r>
    <x v="7"/>
    <x v="3"/>
    <n v="598"/>
    <n v="0"/>
    <n v="0"/>
    <n v="0"/>
    <n v="0"/>
    <n v="0"/>
    <n v="0"/>
  </r>
  <r>
    <x v="0"/>
    <x v="4"/>
    <n v="153"/>
    <n v="0"/>
    <n v="0"/>
    <n v="0"/>
    <n v="0"/>
    <n v="0"/>
    <n v="0"/>
  </r>
  <r>
    <x v="1"/>
    <x v="4"/>
    <n v="152"/>
    <n v="0"/>
    <n v="0"/>
    <n v="0"/>
    <n v="0"/>
    <n v="0"/>
    <n v="0"/>
  </r>
  <r>
    <x v="2"/>
    <x v="4"/>
    <n v="137"/>
    <n v="0"/>
    <n v="0"/>
    <n v="0"/>
    <n v="0"/>
    <n v="0"/>
    <n v="0"/>
  </r>
  <r>
    <x v="3"/>
    <x v="4"/>
    <n v="103"/>
    <n v="0"/>
    <n v="0"/>
    <n v="0"/>
    <n v="0"/>
    <n v="0"/>
    <n v="0"/>
  </r>
  <r>
    <x v="4"/>
    <x v="4"/>
    <n v="112"/>
    <n v="0"/>
    <n v="0"/>
    <n v="0"/>
    <n v="0"/>
    <n v="0"/>
    <n v="0"/>
  </r>
  <r>
    <x v="5"/>
    <x v="4"/>
    <n v="99"/>
    <n v="0"/>
    <n v="0"/>
    <n v="0"/>
    <n v="0"/>
    <n v="0"/>
    <n v="0"/>
  </r>
  <r>
    <x v="6"/>
    <x v="4"/>
    <n v="113"/>
    <n v="0"/>
    <n v="0"/>
    <n v="0"/>
    <n v="0"/>
    <n v="0"/>
    <n v="0"/>
  </r>
  <r>
    <x v="7"/>
    <x v="4"/>
    <n v="100"/>
    <n v="0"/>
    <n v="0"/>
    <n v="0"/>
    <n v="0"/>
    <n v="0"/>
    <n v="0"/>
  </r>
  <r>
    <x v="0"/>
    <x v="5"/>
    <n v="158"/>
    <n v="0"/>
    <n v="0"/>
    <n v="0"/>
    <n v="0"/>
    <n v="0"/>
    <n v="0"/>
  </r>
  <r>
    <x v="1"/>
    <x v="5"/>
    <n v="154"/>
    <n v="0"/>
    <n v="0"/>
    <n v="0"/>
    <n v="0"/>
    <n v="0"/>
    <n v="0"/>
  </r>
  <r>
    <x v="2"/>
    <x v="5"/>
    <n v="153"/>
    <n v="0"/>
    <n v="0"/>
    <n v="0"/>
    <n v="0"/>
    <n v="0"/>
    <n v="0"/>
  </r>
  <r>
    <x v="3"/>
    <x v="5"/>
    <n v="148"/>
    <n v="0"/>
    <n v="0"/>
    <n v="0"/>
    <n v="0"/>
    <n v="0"/>
    <n v="0"/>
  </r>
  <r>
    <x v="4"/>
    <x v="5"/>
    <n v="156"/>
    <n v="0"/>
    <n v="0"/>
    <n v="0"/>
    <n v="0"/>
    <n v="0"/>
    <n v="0"/>
  </r>
  <r>
    <x v="5"/>
    <x v="5"/>
    <n v="102"/>
    <n v="0"/>
    <n v="0"/>
    <n v="0"/>
    <n v="0"/>
    <n v="0"/>
    <n v="0"/>
  </r>
  <r>
    <x v="6"/>
    <x v="5"/>
    <n v="143"/>
    <n v="0"/>
    <n v="0"/>
    <n v="0"/>
    <n v="0"/>
    <n v="0"/>
    <n v="0"/>
  </r>
  <r>
    <x v="7"/>
    <x v="5"/>
    <n v="136"/>
    <n v="0"/>
    <n v="0"/>
    <n v="0"/>
    <n v="0"/>
    <n v="0"/>
    <n v="0"/>
  </r>
  <r>
    <x v="0"/>
    <x v="6"/>
    <n v="0"/>
    <n v="0"/>
    <n v="0"/>
    <n v="0"/>
    <n v="0"/>
    <n v="0"/>
    <n v="0"/>
  </r>
  <r>
    <x v="1"/>
    <x v="6"/>
    <n v="0"/>
    <n v="0"/>
    <n v="0"/>
    <n v="0"/>
    <n v="0"/>
    <n v="0"/>
    <n v="0"/>
  </r>
  <r>
    <x v="2"/>
    <x v="6"/>
    <n v="0"/>
    <n v="0"/>
    <n v="0"/>
    <n v="0"/>
    <n v="0"/>
    <n v="0"/>
    <n v="0"/>
  </r>
  <r>
    <x v="3"/>
    <x v="6"/>
    <n v="0"/>
    <n v="0"/>
    <n v="0"/>
    <n v="0"/>
    <n v="0"/>
    <n v="0"/>
    <n v="0"/>
  </r>
  <r>
    <x v="4"/>
    <x v="6"/>
    <n v="0"/>
    <n v="0"/>
    <n v="0"/>
    <n v="0"/>
    <n v="0"/>
    <n v="0"/>
    <n v="0"/>
  </r>
  <r>
    <x v="5"/>
    <x v="6"/>
    <n v="0"/>
    <n v="0"/>
    <n v="0"/>
    <n v="0"/>
    <n v="0"/>
    <n v="0"/>
    <n v="0"/>
  </r>
  <r>
    <x v="6"/>
    <x v="6"/>
    <n v="0"/>
    <n v="0"/>
    <n v="0"/>
    <n v="0"/>
    <n v="0"/>
    <n v="0"/>
    <n v="0"/>
  </r>
  <r>
    <x v="7"/>
    <x v="6"/>
    <n v="0"/>
    <n v="0"/>
    <n v="0"/>
    <n v="0"/>
    <n v="0"/>
    <n v="0"/>
    <n v="0"/>
  </r>
  <r>
    <x v="4"/>
    <x v="7"/>
    <n v="7905"/>
    <n v="1026"/>
    <n v="935"/>
    <n v="1312"/>
    <n v="1259"/>
    <n v="2591"/>
    <n v="782"/>
  </r>
  <r>
    <x v="5"/>
    <x v="7"/>
    <n v="5267"/>
    <n v="636"/>
    <n v="605"/>
    <n v="910"/>
    <n v="833"/>
    <n v="1765"/>
    <n v="518"/>
  </r>
  <r>
    <x v="6"/>
    <x v="7"/>
    <n v="6539"/>
    <n v="849"/>
    <n v="798"/>
    <n v="1237"/>
    <n v="940"/>
    <n v="2043"/>
    <n v="672"/>
  </r>
  <r>
    <x v="7"/>
    <x v="7"/>
    <n v="6771"/>
    <n v="914"/>
    <n v="777"/>
    <n v="1172"/>
    <n v="1032"/>
    <n v="2238"/>
    <n v="638"/>
  </r>
  <r>
    <x v="8"/>
    <x v="8"/>
    <n v="0.05"/>
    <n v="0.06"/>
    <n v="0"/>
    <n v="0.05"/>
    <n v="0.11"/>
    <n v="0.06"/>
    <n v="0"/>
  </r>
  <r>
    <x v="9"/>
    <x v="8"/>
    <n v="0.05"/>
    <n v="0.06"/>
    <n v="0.14000000000000001"/>
    <n v="0.13"/>
    <n v="0"/>
    <n v="0.05"/>
    <n v="0.06"/>
  </r>
  <r>
    <x v="10"/>
    <x v="8"/>
    <n v="0.03"/>
    <n v="0.1"/>
    <n v="0"/>
    <n v="0.02"/>
    <n v="0"/>
    <n v="0"/>
    <n v="0.06"/>
  </r>
  <r>
    <x v="11"/>
    <x v="8"/>
    <n v="7.0000000000000007E-2"/>
    <n v="0"/>
    <n v="0.06"/>
    <n v="7.0000000000000007E-2"/>
    <n v="0.15"/>
    <n v="0.06"/>
    <n v="0.09"/>
  </r>
  <r>
    <x v="8"/>
    <x v="9"/>
    <n v="0.05"/>
    <n v="0"/>
    <n v="7.0000000000000007E-2"/>
    <n v="0.03"/>
    <n v="0"/>
    <n v="7.0000000000000007E-2"/>
    <n v="0.14000000000000001"/>
  </r>
  <r>
    <x v="9"/>
    <x v="9"/>
    <n v="7.0000000000000007E-2"/>
    <n v="0.05"/>
    <n v="0.14000000000000001"/>
    <n v="0.03"/>
    <n v="0.08"/>
    <n v="0.05"/>
    <n v="0.11"/>
  </r>
  <r>
    <x v="10"/>
    <x v="9"/>
    <n v="0.08"/>
    <n v="0.09"/>
    <n v="0.05"/>
    <n v="0.08"/>
    <n v="0.08"/>
    <n v="0.12"/>
    <n v="0.03"/>
  </r>
  <r>
    <x v="11"/>
    <x v="9"/>
    <n v="7.0000000000000007E-2"/>
    <n v="0.13"/>
    <n v="0.03"/>
    <n v="0.01"/>
    <n v="0.11"/>
    <n v="7.0000000000000007E-2"/>
    <n v="0.09"/>
  </r>
  <r>
    <x v="8"/>
    <x v="10"/>
    <s v=""/>
    <s v=""/>
    <s v=""/>
    <s v=""/>
    <s v=""/>
    <s v=""/>
    <s v=""/>
  </r>
  <r>
    <x v="9"/>
    <x v="10"/>
    <n v="89"/>
    <n v="0"/>
    <n v="0"/>
    <n v="0"/>
    <n v="0"/>
    <n v="0"/>
    <n v="0"/>
  </r>
  <r>
    <x v="10"/>
    <x v="10"/>
    <n v="89"/>
    <n v="0"/>
    <n v="0"/>
    <n v="0"/>
    <n v="0"/>
    <n v="0"/>
    <n v="0"/>
  </r>
  <r>
    <x v="11"/>
    <x v="10"/>
    <n v="89"/>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1556DD6-B1B7-40C1-A894-F6557A11E5DB}" name="PivotTable22" cacheId="2703"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S5:T13" firstHeaderRow="1" firstDataRow="1" firstDataCol="1"/>
  <pivotFields count="9">
    <pivotField axis="axisRow" showAll="0">
      <items count="19">
        <item x="0"/>
        <item x="1"/>
        <item x="2"/>
        <item x="3"/>
        <item x="4"/>
        <item x="5"/>
        <item h="1" m="1" x="14"/>
        <item h="1" m="1" x="17"/>
        <item h="1" m="1" x="13"/>
        <item h="1" m="1" x="16"/>
        <item h="1" m="1" x="12"/>
        <item h="1" m="1" x="15"/>
        <item h="1" x="8"/>
        <item h="1" x="9"/>
        <item x="6"/>
        <item h="1" x="10"/>
        <item x="7"/>
        <item h="1" x="11"/>
        <item t="default"/>
      </items>
    </pivotField>
    <pivotField showAll="0">
      <items count="12">
        <item h="1" x="9"/>
        <item h="1" x="4"/>
        <item h="1" x="3"/>
        <item h="1" x="10"/>
        <item h="1" x="8"/>
        <item h="1" x="6"/>
        <item h="1" x="7"/>
        <item h="1" x="2"/>
        <item h="1" x="5"/>
        <item x="0"/>
        <item h="1" x="1"/>
        <item t="default"/>
      </items>
    </pivotField>
    <pivotField showAll="0"/>
    <pivotField showAll="0"/>
    <pivotField showAll="0"/>
    <pivotField showAll="0"/>
    <pivotField showAll="0"/>
    <pivotField showAll="0"/>
    <pivotField dataField="1" showAll="0"/>
  </pivotFields>
  <rowFields count="1">
    <field x="0"/>
  </rowFields>
  <rowItems count="8">
    <i>
      <x/>
    </i>
    <i>
      <x v="1"/>
    </i>
    <i>
      <x v="2"/>
    </i>
    <i>
      <x v="3"/>
    </i>
    <i>
      <x v="4"/>
    </i>
    <i>
      <x v="5"/>
    </i>
    <i>
      <x v="14"/>
    </i>
    <i>
      <x v="16"/>
    </i>
  </rowItems>
  <colItems count="1">
    <i/>
  </colItems>
  <dataFields count="1">
    <dataField name=" South West_x000a_"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BA1BA7E-CC9F-4A7B-8FA0-2DFAE0CC0923}" name="PivotTable17" cacheId="2703"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9" rowHeaderCaption="Year">
  <location ref="D5:E13" firstHeaderRow="1" firstDataRow="1" firstDataCol="1"/>
  <pivotFields count="9">
    <pivotField axis="axisRow" showAll="0">
      <items count="19">
        <item x="0"/>
        <item x="1"/>
        <item x="2"/>
        <item x="3"/>
        <item x="4"/>
        <item x="5"/>
        <item h="1" m="1" x="14"/>
        <item h="1" m="1" x="17"/>
        <item h="1" m="1" x="13"/>
        <item h="1" m="1" x="16"/>
        <item h="1" m="1" x="12"/>
        <item h="1" m="1" x="15"/>
        <item h="1" x="8"/>
        <item h="1" x="9"/>
        <item x="6"/>
        <item h="1" x="10"/>
        <item x="7"/>
        <item h="1" x="11"/>
        <item t="default"/>
      </items>
    </pivotField>
    <pivotField showAll="0">
      <items count="12">
        <item h="1" x="9"/>
        <item h="1" x="4"/>
        <item h="1" x="3"/>
        <item h="1" x="10"/>
        <item h="1" x="8"/>
        <item h="1" x="6"/>
        <item h="1" x="7"/>
        <item h="1" x="2"/>
        <item h="1" x="5"/>
        <item x="0"/>
        <item h="1" x="1"/>
        <item t="default"/>
      </items>
    </pivotField>
    <pivotField showAll="0"/>
    <pivotField dataField="1" showAll="0"/>
    <pivotField showAll="0"/>
    <pivotField showAll="0"/>
    <pivotField showAll="0"/>
    <pivotField showAll="0"/>
    <pivotField showAll="0"/>
  </pivotFields>
  <rowFields count="1">
    <field x="0"/>
  </rowFields>
  <rowItems count="8">
    <i>
      <x/>
    </i>
    <i>
      <x v="1"/>
    </i>
    <i>
      <x v="2"/>
    </i>
    <i>
      <x v="3"/>
    </i>
    <i>
      <x v="4"/>
    </i>
    <i>
      <x v="5"/>
    </i>
    <i>
      <x v="14"/>
    </i>
    <i>
      <x v="16"/>
    </i>
  </rowItems>
  <colItems count="1">
    <i/>
  </colItems>
  <dataFields count="1">
    <dataField name=" Yorkshire and North East"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16CB319-5DF3-4143-8AB7-A6C5E884D6D4}" name="PivotTable20" cacheId="2703"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M5:N13" firstHeaderRow="1" firstDataRow="1" firstDataCol="1"/>
  <pivotFields count="9">
    <pivotField axis="axisRow" showAll="0">
      <items count="19">
        <item x="0"/>
        <item x="1"/>
        <item x="2"/>
        <item x="3"/>
        <item x="4"/>
        <item x="5"/>
        <item h="1" m="1" x="14"/>
        <item h="1" m="1" x="17"/>
        <item h="1" m="1" x="13"/>
        <item h="1" m="1" x="16"/>
        <item h="1" m="1" x="12"/>
        <item h="1" m="1" x="15"/>
        <item h="1" x="8"/>
        <item h="1" x="9"/>
        <item x="6"/>
        <item h="1" x="10"/>
        <item x="7"/>
        <item h="1" x="11"/>
        <item t="default"/>
      </items>
    </pivotField>
    <pivotField showAll="0">
      <items count="12">
        <item h="1" x="9"/>
        <item h="1" x="4"/>
        <item h="1" x="3"/>
        <item h="1" x="10"/>
        <item h="1" x="8"/>
        <item h="1" x="6"/>
        <item h="1" x="7"/>
        <item h="1" x="2"/>
        <item h="1" x="5"/>
        <item x="0"/>
        <item h="1" x="1"/>
        <item t="default"/>
      </items>
    </pivotField>
    <pivotField showAll="0"/>
    <pivotField showAll="0"/>
    <pivotField showAll="0"/>
    <pivotField showAll="0"/>
    <pivotField dataField="1" showAll="0"/>
    <pivotField showAll="0"/>
    <pivotField showAll="0"/>
  </pivotFields>
  <rowFields count="1">
    <field x="0"/>
  </rowFields>
  <rowItems count="8">
    <i>
      <x/>
    </i>
    <i>
      <x v="1"/>
    </i>
    <i>
      <x v="2"/>
    </i>
    <i>
      <x v="3"/>
    </i>
    <i>
      <x v="4"/>
    </i>
    <i>
      <x v="5"/>
    </i>
    <i>
      <x v="14"/>
    </i>
    <i>
      <x v="16"/>
    </i>
  </rowItems>
  <colItems count="1">
    <i/>
  </colItems>
  <dataFields count="1">
    <dataField name=" East_x000a_"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ABF60B7-1584-4A44-B5A0-B22211ACA74D}" name="PivotTable15" cacheId="2703"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rowHeaderCaption="Year">
  <location ref="A43:H51" firstHeaderRow="0" firstDataRow="1" firstDataCol="1" rowPageCount="1" colPageCount="1"/>
  <pivotFields count="9">
    <pivotField axis="axisRow" showAll="0">
      <items count="19">
        <item x="0"/>
        <item x="1"/>
        <item x="2"/>
        <item x="3"/>
        <item x="4"/>
        <item x="5"/>
        <item h="1" m="1" x="14"/>
        <item h="1" m="1" x="17"/>
        <item h="1" m="1" x="13"/>
        <item h="1" m="1" x="16"/>
        <item h="1" m="1" x="12"/>
        <item h="1" m="1" x="15"/>
        <item h="1" x="8"/>
        <item h="1" x="9"/>
        <item x="6"/>
        <item h="1" x="10"/>
        <item x="7"/>
        <item h="1" x="11"/>
        <item t="default"/>
      </items>
    </pivotField>
    <pivotField axis="axisPage" multipleItemSelectionAllowed="1" showAll="0">
      <items count="12">
        <item h="1" x="4"/>
        <item h="1" x="3"/>
        <item h="1" x="8"/>
        <item h="1" x="6"/>
        <item h="1" x="7"/>
        <item h="1" x="2"/>
        <item h="1" x="5"/>
        <item h="1" x="1"/>
        <item x="0"/>
        <item n="The accident frequency rate for National Highways supply chain staff" h="1" x="9"/>
        <item h="1" x="10"/>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8">
    <i>
      <x/>
    </i>
    <i>
      <x v="1"/>
    </i>
    <i>
      <x v="2"/>
    </i>
    <i>
      <x v="3"/>
    </i>
    <i>
      <x v="4"/>
    </i>
    <i>
      <x v="5"/>
    </i>
    <i>
      <x v="14"/>
    </i>
    <i>
      <x v="16"/>
    </i>
  </rowItems>
  <colFields count="1">
    <field x="-2"/>
  </colFields>
  <colItems count="7">
    <i>
      <x/>
    </i>
    <i i="1">
      <x v="1"/>
    </i>
    <i i="2">
      <x v="2"/>
    </i>
    <i i="3">
      <x v="3"/>
    </i>
    <i i="4">
      <x v="4"/>
    </i>
    <i i="5">
      <x v="5"/>
    </i>
    <i i="6">
      <x v="6"/>
    </i>
  </colItems>
  <pageFields count="1">
    <pageField fld="1" hier="-1"/>
  </pageFields>
  <dataFields count="7">
    <dataField name=" Yorkshire and North East" fld="3" baseField="0" baseItem="0"/>
    <dataField name=" North West_x000a_" fld="4" baseField="0" baseItem="0"/>
    <dataField name=" Midlands_x000a_" fld="5" baseField="0" baseItem="0"/>
    <dataField name=" East_x000a_" fld="6" baseField="0" baseItem="0"/>
    <dataField name=" South East_x000a_" fld="7" baseField="0" baseItem="0"/>
    <dataField name=" South West_x000a_" fld="8" baseField="0" baseItem="0"/>
    <dataField name=" National Highways" fld="2" baseField="0" baseItem="0"/>
  </dataFields>
  <formats count="1">
    <format dxfId="8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A8633D5-A7C3-494F-B39A-37C949A0094C}" name="PivotTable18" cacheId="2703"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G5:H13" firstHeaderRow="1" firstDataRow="1" firstDataCol="1"/>
  <pivotFields count="9">
    <pivotField axis="axisRow" showAll="0">
      <items count="19">
        <item x="0"/>
        <item x="1"/>
        <item x="2"/>
        <item x="3"/>
        <item x="4"/>
        <item x="5"/>
        <item h="1" m="1" x="14"/>
        <item h="1" m="1" x="17"/>
        <item h="1" m="1" x="13"/>
        <item h="1" m="1" x="16"/>
        <item h="1" m="1" x="12"/>
        <item h="1" m="1" x="15"/>
        <item h="1" x="8"/>
        <item h="1" x="9"/>
        <item x="6"/>
        <item h="1" x="10"/>
        <item x="7"/>
        <item h="1" x="11"/>
        <item t="default"/>
      </items>
    </pivotField>
    <pivotField showAll="0">
      <items count="12">
        <item h="1" x="9"/>
        <item h="1" x="4"/>
        <item h="1" x="3"/>
        <item h="1" x="10"/>
        <item h="1" x="8"/>
        <item h="1" x="6"/>
        <item h="1" x="7"/>
        <item h="1" x="2"/>
        <item h="1" x="5"/>
        <item x="0"/>
        <item h="1" x="1"/>
        <item t="default"/>
      </items>
    </pivotField>
    <pivotField showAll="0"/>
    <pivotField showAll="0"/>
    <pivotField dataField="1" showAll="0"/>
    <pivotField showAll="0"/>
    <pivotField showAll="0"/>
    <pivotField showAll="0"/>
    <pivotField showAll="0"/>
  </pivotFields>
  <rowFields count="1">
    <field x="0"/>
  </rowFields>
  <rowItems count="8">
    <i>
      <x/>
    </i>
    <i>
      <x v="1"/>
    </i>
    <i>
      <x v="2"/>
    </i>
    <i>
      <x v="3"/>
    </i>
    <i>
      <x v="4"/>
    </i>
    <i>
      <x v="5"/>
    </i>
    <i>
      <x v="14"/>
    </i>
    <i>
      <x v="16"/>
    </i>
  </rowItems>
  <colItems count="1">
    <i/>
  </colItems>
  <dataFields count="1">
    <dataField name=" North West_x000a_"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BCA0C5A-3AF9-41BB-B975-FAA53D197804}" name="PivotTable21" cacheId="2703"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P5:Q13" firstHeaderRow="1" firstDataRow="1" firstDataCol="1"/>
  <pivotFields count="9">
    <pivotField axis="axisRow" showAll="0">
      <items count="19">
        <item x="0"/>
        <item x="1"/>
        <item x="2"/>
        <item x="3"/>
        <item x="4"/>
        <item x="5"/>
        <item h="1" m="1" x="14"/>
        <item h="1" m="1" x="17"/>
        <item h="1" m="1" x="13"/>
        <item h="1" m="1" x="16"/>
        <item h="1" m="1" x="12"/>
        <item h="1" m="1" x="15"/>
        <item h="1" x="8"/>
        <item h="1" x="9"/>
        <item x="6"/>
        <item h="1" x="10"/>
        <item x="7"/>
        <item h="1" x="11"/>
        <item t="default"/>
      </items>
    </pivotField>
    <pivotField showAll="0">
      <items count="12">
        <item h="1" x="9"/>
        <item h="1" x="4"/>
        <item h="1" x="3"/>
        <item h="1" x="10"/>
        <item h="1" x="8"/>
        <item h="1" x="6"/>
        <item h="1" x="7"/>
        <item h="1" x="2"/>
        <item h="1" x="5"/>
        <item x="0"/>
        <item h="1" x="1"/>
        <item t="default"/>
      </items>
    </pivotField>
    <pivotField showAll="0"/>
    <pivotField showAll="0"/>
    <pivotField showAll="0"/>
    <pivotField showAll="0"/>
    <pivotField showAll="0"/>
    <pivotField dataField="1" showAll="0"/>
    <pivotField showAll="0"/>
  </pivotFields>
  <rowFields count="1">
    <field x="0"/>
  </rowFields>
  <rowItems count="8">
    <i>
      <x/>
    </i>
    <i>
      <x v="1"/>
    </i>
    <i>
      <x v="2"/>
    </i>
    <i>
      <x v="3"/>
    </i>
    <i>
      <x v="4"/>
    </i>
    <i>
      <x v="5"/>
    </i>
    <i>
      <x v="14"/>
    </i>
    <i>
      <x v="16"/>
    </i>
  </rowItems>
  <colItems count="1">
    <i/>
  </colItems>
  <dataFields count="1">
    <dataField name=" South East_x000a_"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05469BD-3602-4444-B448-2F4832AA99FA}" name="PivotTable16" cacheId="2703" applyNumberFormats="0" applyBorderFormats="0" applyFontFormats="0" applyPatternFormats="0" applyAlignmentFormats="0" applyWidthHeightFormats="1" dataCaption="Values" showError="1" updatedVersion="8" minRefreshableVersion="3" useAutoFormatting="1" rowGrandTotals="0" itemPrintTitles="1" createdVersion="8" indent="0" outline="1" outlineData="1" multipleFieldFilters="0" chartFormat="11" rowHeaderCaption="Year">
  <location ref="A5:B13" firstHeaderRow="1" firstDataRow="1" firstDataCol="1"/>
  <pivotFields count="9">
    <pivotField axis="axisRow" showAll="0">
      <items count="19">
        <item x="0"/>
        <item x="1"/>
        <item x="2"/>
        <item x="3"/>
        <item x="4"/>
        <item x="5"/>
        <item h="1" m="1" x="14"/>
        <item h="1" m="1" x="17"/>
        <item h="1" m="1" x="13"/>
        <item h="1" m="1" x="16"/>
        <item h="1" m="1" x="12"/>
        <item h="1" m="1" x="15"/>
        <item h="1" x="8"/>
        <item h="1" x="9"/>
        <item x="6"/>
        <item h="1" x="10"/>
        <item x="7"/>
        <item h="1" x="11"/>
        <item t="default"/>
      </items>
    </pivotField>
    <pivotField showAll="0">
      <items count="12">
        <item h="1" x="9"/>
        <item h="1" x="4"/>
        <item h="1" x="3"/>
        <item h="1" x="10"/>
        <item h="1" x="8"/>
        <item h="1" x="6"/>
        <item h="1" x="7"/>
        <item h="1" x="2"/>
        <item h="1" x="5"/>
        <item x="0"/>
        <item h="1" x="1"/>
        <item t="default"/>
      </items>
    </pivotField>
    <pivotField dataField="1" showAll="0"/>
    <pivotField showAll="0"/>
    <pivotField showAll="0"/>
    <pivotField showAll="0"/>
    <pivotField showAll="0"/>
    <pivotField showAll="0"/>
    <pivotField showAll="0"/>
  </pivotFields>
  <rowFields count="1">
    <field x="0"/>
  </rowFields>
  <rowItems count="8">
    <i>
      <x/>
    </i>
    <i>
      <x v="1"/>
    </i>
    <i>
      <x v="2"/>
    </i>
    <i>
      <x v="3"/>
    </i>
    <i>
      <x v="4"/>
    </i>
    <i>
      <x v="5"/>
    </i>
    <i>
      <x v="14"/>
    </i>
    <i>
      <x v="16"/>
    </i>
  </rowItems>
  <colItems count="1">
    <i/>
  </colItems>
  <dataFields count="1">
    <dataField name=" National Highways" fld="2" baseField="0" baseItem="0"/>
  </dataField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2">
    <chartFormat chart="1" format="21" series="1">
      <pivotArea type="data" outline="0" fieldPosition="0">
        <references count="1">
          <reference field="4294967294" count="1" selected="0">
            <x v="0"/>
          </reference>
        </references>
      </pivotArea>
    </chartFormat>
    <chartFormat chart="2" format="2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B68E5B1-1F50-4B22-9315-2B9ACC022F5A}" name="PivotTable19" cacheId="2703"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J5:K13" firstHeaderRow="1" firstDataRow="1" firstDataCol="1"/>
  <pivotFields count="9">
    <pivotField axis="axisRow" showAll="0">
      <items count="19">
        <item x="0"/>
        <item x="1"/>
        <item x="2"/>
        <item x="3"/>
        <item x="4"/>
        <item x="5"/>
        <item h="1" m="1" x="14"/>
        <item h="1" m="1" x="17"/>
        <item h="1" m="1" x="13"/>
        <item h="1" m="1" x="16"/>
        <item h="1" m="1" x="12"/>
        <item h="1" m="1" x="15"/>
        <item h="1" x="8"/>
        <item h="1" x="9"/>
        <item x="6"/>
        <item h="1" x="10"/>
        <item x="7"/>
        <item h="1" x="11"/>
        <item t="default"/>
      </items>
    </pivotField>
    <pivotField showAll="0">
      <items count="12">
        <item h="1" x="9"/>
        <item h="1" x="4"/>
        <item h="1" x="3"/>
        <item h="1" x="10"/>
        <item h="1" x="8"/>
        <item h="1" x="6"/>
        <item h="1" x="7"/>
        <item h="1" x="2"/>
        <item h="1" x="5"/>
        <item x="0"/>
        <item h="1" x="1"/>
        <item t="default"/>
      </items>
    </pivotField>
    <pivotField showAll="0"/>
    <pivotField showAll="0"/>
    <pivotField showAll="0"/>
    <pivotField dataField="1" showAll="0"/>
    <pivotField showAll="0"/>
    <pivotField showAll="0"/>
    <pivotField showAll="0"/>
  </pivotFields>
  <rowFields count="1">
    <field x="0"/>
  </rowFields>
  <rowItems count="8">
    <i>
      <x/>
    </i>
    <i>
      <x v="1"/>
    </i>
    <i>
      <x v="2"/>
    </i>
    <i>
      <x v="3"/>
    </i>
    <i>
      <x v="4"/>
    </i>
    <i>
      <x v="5"/>
    </i>
    <i>
      <x v="14"/>
    </i>
    <i>
      <x v="16"/>
    </i>
  </rowItems>
  <colItems count="1">
    <i/>
  </colItems>
  <dataFields count="1">
    <dataField name=" Midlands_x000a_"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60E1100D-7BD0-45BE-90F8-1CE97B020F0D}" sourceName="Year">
  <pivotTables>
    <pivotTable tabId="40" name="PivotTable17"/>
    <pivotTable tabId="40" name="PivotTable15"/>
    <pivotTable tabId="40" name="PivotTable16"/>
    <pivotTable tabId="40" name="PivotTable18"/>
    <pivotTable tabId="40" name="PivotTable19"/>
    <pivotTable tabId="40" name="PivotTable20"/>
    <pivotTable tabId="40" name="PivotTable21"/>
    <pivotTable tabId="40" name="PivotTable22"/>
  </pivotTables>
  <data>
    <tabular pivotCacheId="736597865" showMissing="0">
      <items count="18">
        <i x="0" s="1"/>
        <i x="1" s="1"/>
        <i x="2" s="1"/>
        <i x="3" s="1"/>
        <i x="4" s="1"/>
        <i x="5" s="1"/>
        <i x="6" s="1"/>
        <i x="7" s="1"/>
        <i x="8" nd="1"/>
        <i x="9" nd="1"/>
        <i x="10" nd="1"/>
        <i x="11" nd="1"/>
        <i x="14" nd="1"/>
        <i x="17" nd="1"/>
        <i x="13" nd="1"/>
        <i x="16" nd="1"/>
        <i x="12" nd="1"/>
        <i x="15"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PI1" xr10:uid="{298E3BF9-3E8F-403C-B3F3-9C25C1F28EDC}" sourceName="KPI">
  <pivotTables>
    <pivotTable tabId="40" name="PivotTable17"/>
    <pivotTable tabId="40" name="PivotTable15"/>
    <pivotTable tabId="40" name="PivotTable16"/>
    <pivotTable tabId="40" name="PivotTable18"/>
    <pivotTable tabId="40" name="PivotTable19"/>
    <pivotTable tabId="40" name="PivotTable20"/>
    <pivotTable tabId="40" name="PivotTable21"/>
    <pivotTable tabId="40" name="PivotTable22"/>
  </pivotTables>
  <data>
    <tabular pivotCacheId="736597865" showMissing="0">
      <items count="11">
        <i x="4"/>
        <i x="3"/>
        <i x="6"/>
        <i x="7"/>
        <i x="2"/>
        <i x="5"/>
        <i x="0" s="1"/>
        <i x="1"/>
        <i x="10" nd="1"/>
        <i x="8" nd="1"/>
        <i x="9"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 xr10:uid="{1AD1DA1A-DA86-4751-BD74-04B4793254F6}" cache="Slicer_Year1" caption="Year" columnCount="7" showCaption="0" rowHeight="241300"/>
  <slicer name="KPI 2" xr10:uid="{6980D8AC-5535-4E0F-9BC9-501C9955F641}" cache="Slicer_KPI1" caption="KPI" columnCount="10" showCaption="0"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BE33297-F8C6-43D4-9387-EB195FDC907D}" name="Notes_Table1" displayName="Notes_Table1" ref="A3:B9" totalsRowShown="0">
  <autoFilter ref="A3:B9" xr:uid="{CBE33297-F8C6-43D4-9387-EB195FDC907D}">
    <filterColumn colId="0" hiddenButton="1"/>
    <filterColumn colId="1" hiddenButton="1"/>
  </autoFilter>
  <tableColumns count="2">
    <tableColumn id="1" xr3:uid="{5AE897BE-3311-47A9-B7C2-45249EB3153D}" name="Note number " dataDxfId="88"/>
    <tableColumn id="2" xr3:uid="{3F4EC788-3E8F-4A07-A7AC-2321A5D8D41B}" name="Note text " dataDxfId="8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605184D-5FDF-4DE3-80C8-B232C67647C1}" name="Table_1h" displayName="Table_1h" ref="A4:H9" totalsRowShown="0" headerRowDxfId="36" dataDxfId="35">
  <autoFilter ref="A4:H9" xr:uid="{D605184D-5FDF-4DE3-80C8-B232C67647C1}">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3C6AAC7-E4FD-4438-81A4-249CA22209EA}" name="Time period" dataDxfId="34"/>
    <tableColumn id="2" xr3:uid="{BF61AE86-5AED-4D03-9054-FFB21EA95B9E}" name="England's strategic road network (number) " dataDxfId="33"/>
    <tableColumn id="3" xr3:uid="{C18388CA-1692-4F57-A320-68EA54E339AD}" name="Yorkshire and North East_x000a_(Number) " dataDxfId="32"/>
    <tableColumn id="4" xr3:uid="{DFA0F801-5A02-46D7-A3AE-A2B875BF6F5B}" name="North West_x000a_(Number) " dataDxfId="31"/>
    <tableColumn id="5" xr3:uid="{C14A9F4A-6D7D-41A4-92D0-1596F37489CF}" name="Midlands_x000a_(Number) " dataDxfId="30"/>
    <tableColumn id="6" xr3:uid="{D162A173-2AA7-48DB-84E4-94D9F4D039A9}" name="East_x000a_(Number) " dataDxfId="29"/>
    <tableColumn id="7" xr3:uid="{11505208-719D-404B-AD46-7703C1668FB6}" name="South East_x000a_(Number) " dataDxfId="28"/>
    <tableColumn id="8" xr3:uid="{7DAEE2E1-2480-4DAA-9491-CA991FA146E2}" name="South West_x000a_(Number) " dataDxfId="27"/>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5BBDBF4-D444-4BD8-86B9-EC85230366FF}" name="Table_1i" displayName="Table_1i" ref="A3:H8" totalsRowShown="0">
  <autoFilter ref="A3:H8" xr:uid="{15BBDBF4-D444-4BD8-86B9-EC85230366F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EF7C387-F230-4F71-915A-7105A06E42BB}" name="Time period" dataDxfId="26"/>
    <tableColumn id="2" xr3:uid="{970A03FA-E990-4D40-A1FC-58C0AB0DE57E}" name="  National Highways   _x000a_(RIDDORs per 100,000 hours worked) " dataDxfId="25"/>
    <tableColumn id="3" xr3:uid="{59A14824-6ACC-4609-8106-060FA612DB82}" name="Yorkshire and North East_x000a_(RIDDORs per 100,000 hours worked)" dataDxfId="24" dataCellStyle="-"/>
    <tableColumn id="4" xr3:uid="{63C3625D-58AF-4485-8E56-CEE67CD05066}" name="North West_x000a_(RIDDORs per 100,000 hours worked)" dataDxfId="23" dataCellStyle="-"/>
    <tableColumn id="5" xr3:uid="{27B5A6B3-F2CC-4E86-A179-9C2A462F2B89}" name="Midlands_x000a_(RIDDORs per 100,000 hours worked)" dataDxfId="22" dataCellStyle="-"/>
    <tableColumn id="6" xr3:uid="{718CC317-362C-423D-B045-042FB9BC8C63}" name="East_x000a_(RIDDORs per 100,000 hours worked)" dataDxfId="21" dataCellStyle="-"/>
    <tableColumn id="7" xr3:uid="{1A56F2D1-92F2-4277-8351-2196DE850005}" name="South East_x000a_(RIDDORs per 100,000 hours worked) " dataDxfId="20" dataCellStyle="-"/>
    <tableColumn id="8" xr3:uid="{D8670B66-ABC9-4EC5-8DBF-5E4F380B8667}" name="South West_x000a_(RIDDORs per 100,000 hours worked) " dataDxfId="19" dataCellStyle="-"/>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8111DE2-0E8B-47A4-BC66-504DED2022C4}" name="Table_1j" displayName="Table_1j" ref="A3:H8" totalsRowShown="0" headerRowDxfId="18" dataDxfId="17">
  <autoFilter ref="A3:H8" xr:uid="{78111DE2-0E8B-47A4-BC66-504DED2022C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EE419901-29DC-451B-8915-538B411EC63B}" name="Time period" dataDxfId="16"/>
    <tableColumn id="2" xr3:uid="{4EFBF732-F6D7-4165-8F0A-B900026EE4C3}" name="  National Highways   _x000a_(RIDDORs per 100,000 hours worked) " dataDxfId="15"/>
    <tableColumn id="3" xr3:uid="{C9F589B2-F3CB-474B-B88C-2853CE8F3433}" name="Yorkshire and North East_x000a_(RIDDORs per 100,000 hours worked)" dataDxfId="14"/>
    <tableColumn id="4" xr3:uid="{381D1A8C-A909-4100-85D5-4C890F405941}" name="North West_x000a_(RIDDORs per 100,000 hours worked)" dataDxfId="13"/>
    <tableColumn id="5" xr3:uid="{3856B146-AA6A-4BC2-93AB-DC5F7CB3167A}" name="Midlands_x000a_(RIDDORs per 100,000 hours worked)" dataDxfId="12"/>
    <tableColumn id="6" xr3:uid="{CB9CA463-99C3-4955-B4AA-81F3F35CDC3A}" name="East_x000a_(RIDDORs per 100,000 hours worked)" dataDxfId="11"/>
    <tableColumn id="7" xr3:uid="{50E6AF7F-9ACA-4C74-8E17-A8801124FB72}" name="South East_x000a_(RIDDORs per 100,000 hours worked) " dataDxfId="10"/>
    <tableColumn id="8" xr3:uid="{25E17522-B4A5-4A9D-BA64-FAD53783B8E3}" name="South West_x000a_(RIDDORs per 100,000 hours worked) " dataDxfId="9"/>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0DA22E1-2A84-4705-9B23-EB46407EB008}" name="Table_1k" displayName="Table_1k" ref="A4:B9" totalsRowShown="0" headerRowDxfId="8" dataDxfId="7">
  <autoFilter ref="A4:B9" xr:uid="{C0DA22E1-2A84-4705-9B23-EB46407EB008}">
    <filterColumn colId="0" hiddenButton="1"/>
    <filterColumn colId="1" hiddenButton="1"/>
  </autoFilter>
  <tableColumns count="2">
    <tableColumn id="1" xr3:uid="{7BC62744-D7F1-414B-BD60-F0529BB006C6}" name="Time period" dataDxfId="6"/>
    <tableColumn id="2" xr3:uid="{54B32EF5-6DD5-4EBF-B1A5-D85FAB317EF9}" name="England's strategic road network (percentage) " dataDxfId="5"/>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11F3A82-A74D-476B-897E-9168289FB15B}" name="Data" displayName="Data" ref="C2:K74" totalsRowShown="0" headerRowDxfId="3" tableBorderDxfId="2">
  <autoFilter ref="C2:K74" xr:uid="{111F3A82-A74D-476B-897E-9168289FB15B}"/>
  <tableColumns count="9">
    <tableColumn id="1" xr3:uid="{DC9045F2-E23D-4334-A344-905568C296A5}" name="Year" dataDxfId="1">
      <calculatedColumnFormula>IF(ISNUMBER(SEARCH("2015",B3)),"2015",IF(ISNUMBER(SEARCH("2016",B3)),"2016",IF(ISNUMBER(SEARCH("2017",B3)),"2017",IF(ISNUMBER(SEARCH("2018",B3)),"2018",IF(ISNUMBER(SEARCH("2019",B3)),"2019",IF(ISNUMBER(SEARCH("2020",B3)),"2020",IF(ISNUMBER(SEARCH("2021",B3)),"2021",IF(ISNUMBER(SEARCH("2022",B3)),"2022",IF(ISNUMBER(SEARCH("2023",B3)),"2023",IF(ISNUMBER(SEARCH("2024",B3)),"2024",IF(ISNUMBER(SEARCH("2025",B3)),"2025","")))))))))))</calculatedColumnFormula>
    </tableColumn>
    <tableColumn id="2" xr3:uid="{718D9505-2644-475A-BB64-2B9AA583B6FE}" name="KPI" dataDxfId="0"/>
    <tableColumn id="3" xr3:uid="{A3BC18A6-9422-42E9-B76A-11C2C0DB04F1}" name="National Highways"/>
    <tableColumn id="4" xr3:uid="{FE50C436-252F-42FA-A36B-69D8E66F36E8}" name="Yorkshire and North East"/>
    <tableColumn id="5" xr3:uid="{EB06679C-EBFB-4949-8276-5ECBA7216A0D}" name="North West_x000a_"/>
    <tableColumn id="6" xr3:uid="{B46268BB-FCBD-4825-9E1E-03EC1ABA16E8}" name="Midlands_x000a_"/>
    <tableColumn id="7" xr3:uid="{98AB0630-DAA0-4A91-A048-5E5FC074EAA0}" name="East_x000a_"/>
    <tableColumn id="8" xr3:uid="{350CDBF7-EF03-4261-ADA5-97F059B0BF4E}" name="South East_x000a_"/>
    <tableColumn id="9" xr3:uid="{8B255311-3868-4AD5-AC45-B3222C6CAD23}" name="South West_x000a_"/>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E2B00C-F437-45B3-8503-7AA9961C3F10}" name="Table_of_contents" displayName="Table_of_contents" ref="A3:B14" totalsRowShown="0" dataDxfId="86">
  <autoFilter ref="A3:B14" xr:uid="{A2E2B00C-F437-45B3-8503-7AA9961C3F10}">
    <filterColumn colId="0" hiddenButton="1"/>
    <filterColumn colId="1" hiddenButton="1"/>
  </autoFilter>
  <tableColumns count="2">
    <tableColumn id="1" xr3:uid="{557ED635-1147-439E-8F74-0D2BBB4D3AF5}" name="Worksheet name" dataDxfId="85"/>
    <tableColumn id="2" xr3:uid="{7C0BBB98-1A7D-4386-9200-AB6B86FDDAAE}" name="Worksheet title" dataDxfId="8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D6EFD30-59F8-4204-A07C-B5AEDEC7EA93}" name="Number_of_people_KSI_actual_adjusted" displayName="Number_of_people_KSI_actual_adjusted" ref="A6:B15" totalsRowShown="0" headerRowDxfId="83" dataDxfId="82">
  <autoFilter ref="A6:B15" xr:uid="{7D6EFD30-59F8-4204-A07C-B5AEDEC7EA93}">
    <filterColumn colId="0" hiddenButton="1"/>
    <filterColumn colId="1" hiddenButton="1"/>
  </autoFilter>
  <tableColumns count="2">
    <tableColumn id="1" xr3:uid="{869547C4-3B29-4322-A123-0E19DB5BA231}" name="Time period" dataDxfId="81"/>
    <tableColumn id="2" xr3:uid="{2A9C7BF4-8A84-4394-80F5-4B3BE99DEB3C}" name="England's strategic road network (number) " dataDxfId="8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DBA808F-505D-4887-B392-206ACEFD3EAC}" name="Table_1b" displayName="Table_1b" ref="A4:H13" totalsRowShown="0" headerRowDxfId="79" dataDxfId="78">
  <autoFilter ref="A4:H13" xr:uid="{7DBA808F-505D-4887-B392-206ACEFD3EA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09328AC-3FD2-4046-B15F-02FA7A1F6B53}" name="Time period" dataDxfId="77"/>
    <tableColumn id="2" xr3:uid="{6356CEE0-176D-4FE3-B941-87AB94663A32}" name="England's strategic road network (number) " dataDxfId="75" totalsRowDxfId="76"/>
    <tableColumn id="3" xr3:uid="{216FD097-E3C1-482B-815F-279CF7FB9694}" name="Yorkshire and North East_x000a_(Number) " dataDxfId="73" totalsRowDxfId="74"/>
    <tableColumn id="4" xr3:uid="{FEBE350E-D20A-4976-B087-D5F019609626}" name="North West_x000a_(Number) " dataDxfId="71" totalsRowDxfId="72"/>
    <tableColumn id="5" xr3:uid="{8C595176-0260-42EF-8FB3-E1CD2FCC200C}" name="Midlands_x000a_(Number) " dataDxfId="69" totalsRowDxfId="70"/>
    <tableColumn id="6" xr3:uid="{75C2844B-715B-47AA-B442-B88345D28A18}" name="East_x000a_(Number) " dataDxfId="67" totalsRowDxfId="68"/>
    <tableColumn id="7" xr3:uid="{EBC9FF83-1FAC-4734-8528-95BC31F4866B}" name="South East_x000a_(Number) " dataDxfId="65" totalsRowDxfId="66"/>
    <tableColumn id="8" xr3:uid="{C8546E4D-0CCD-4EBF-BBE1-C3B8DD2ACFCA}" name="South West_x000a_(Number) " dataDxfId="63" totalsRowDxfId="64"/>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38EF3C6-8A22-4E9C-9F2E-B2A712A425B9}" name="Table_1c" displayName="Table_1c" ref="A4:H13" totalsRowShown="0" headerRowDxfId="62" dataDxfId="61">
  <autoFilter ref="A4:H13" xr:uid="{338EF3C6-8A22-4E9C-9F2E-B2A712A425B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4BE9D4E-CBE4-4E80-AA58-CB0A7621375F}" name="Time period" dataDxfId="60"/>
    <tableColumn id="2" xr3:uid="{A688306C-F82F-4F76-B276-74AB16BCFADA}" name="England's strategic road network (number) " dataDxfId="59"/>
    <tableColumn id="3" xr3:uid="{0B55F803-8365-4681-8E76-06841FF12383}" name="Yorkshire and North East_x000a_(Number) " dataDxfId="58"/>
    <tableColumn id="4" xr3:uid="{6DA591C9-5F07-41FC-9600-773E3C23F126}" name="North West_x000a_(Number) " dataDxfId="57"/>
    <tableColumn id="5" xr3:uid="{84908AE7-798F-44EB-8A13-CA9862A9FC29}" name="Midlands_x000a_(Number) " dataDxfId="56"/>
    <tableColumn id="6" xr3:uid="{851CA5FA-274A-4AD6-BE77-AAD1746910DD}" name="East_x000a_(Number) " dataDxfId="55"/>
    <tableColumn id="7" xr3:uid="{06F632CE-E35A-4F8A-AB3F-646E8356C1F1}" name="South East_x000a_(Number) " dataDxfId="54"/>
    <tableColumn id="8" xr3:uid="{8A7D94D3-3BE4-448F-9609-737709CE08FA}" name="South West_x000a_(Number) " dataDxfId="5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8FC0CEF-E4F4-4BEB-BE31-70715FF80A31}" name="Table_1d" displayName="Table_1d" ref="A4:B13" totalsRowShown="0" headerRowDxfId="52" dataDxfId="51">
  <autoFilter ref="A4:B13" xr:uid="{28FC0CEF-E4F4-4BEB-BE31-70715FF80A31}">
    <filterColumn colId="0" hiddenButton="1"/>
    <filterColumn colId="1" hiddenButton="1"/>
  </autoFilter>
  <tableColumns count="2">
    <tableColumn id="1" xr3:uid="{7CB385B7-F38B-4A8D-BCA7-B7FFCC54955B}" name="Time period" dataDxfId="50"/>
    <tableColumn id="2" xr3:uid="{06542C2B-2C12-4C79-8260-95DB3387E91D}" name="England's strategic road network (number) " dataDxfId="49"/>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9133708-3A4F-4D08-8537-891FFF08AC6E}" name="Table_1e" displayName="Table_1e" ref="A4:B13" totalsRowShown="0" headerRowDxfId="48" dataDxfId="47">
  <autoFilter ref="A4:B13" xr:uid="{69133708-3A4F-4D08-8537-891FFF08AC6E}">
    <filterColumn colId="0" hiddenButton="1"/>
    <filterColumn colId="1" hiddenButton="1"/>
  </autoFilter>
  <tableColumns count="2">
    <tableColumn id="1" xr3:uid="{09A9858B-095B-4B0C-B287-9E5F3ACD5DCC}" name="Time period" dataDxfId="46"/>
    <tableColumn id="2" xr3:uid="{F3893DD5-F27A-4C14-A029-9CBF480DFAD7}" name="England's strategic road network (number) " dataDxfId="45"/>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B014C83-6033-4742-B389-22C12C8551DE}" name="Table_1f" displayName="Table_1f" ref="A4:B13" totalsRowShown="0" headerRowDxfId="44" dataDxfId="43">
  <autoFilter ref="A4:B13" xr:uid="{FB014C83-6033-4742-B389-22C12C8551DE}">
    <filterColumn colId="0" hiddenButton="1"/>
    <filterColumn colId="1" hiddenButton="1"/>
  </autoFilter>
  <tableColumns count="2">
    <tableColumn id="1" xr3:uid="{94BAF97C-A565-4ECD-B872-F6DC57A72B4B}" name="Time period" dataDxfId="42"/>
    <tableColumn id="2" xr3:uid="{FBF7A30D-CAD4-4886-8F8B-FF17E2BA72F2}" name="England's strategic road network (number) " dataDxfId="41"/>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F393257-F293-4496-8DC1-CE8A9AA23753}" name="Table_1g" displayName="Table_1g" ref="A4:B13" totalsRowShown="0" headerRowDxfId="40" dataDxfId="39">
  <autoFilter ref="A4:B13" xr:uid="{8F393257-F293-4496-8DC1-CE8A9AA23753}">
    <filterColumn colId="0" hiddenButton="1"/>
    <filterColumn colId="1" hiddenButton="1"/>
  </autoFilter>
  <tableColumns count="2">
    <tableColumn id="1" xr3:uid="{D23855A0-8C07-4498-9AA3-33EA17160EB4}" name="Time period" dataDxfId="38"/>
    <tableColumn id="2" xr3:uid="{2ED47842-BACC-4CDC-8E6E-7A6299686073}" name="England's strategic road network (number) " dataDxfId="37"/>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nationalhighways.co.uk/media/tx1hdslj/2022-23-performance-monitoring-statements.xlsx" TargetMode="External"/><Relationship Id="rId13" Type="http://schemas.openxmlformats.org/officeDocument/2006/relationships/hyperlink" Target="https://nationalhighways.co.uk/media/hf3g525d/2024-25-national-highways-performance-monitoring-statements.pdf" TargetMode="External"/><Relationship Id="rId3" Type="http://schemas.openxmlformats.org/officeDocument/2006/relationships/hyperlink" Target="https://nationalhighways.co.uk/media/enoh0bhu/performance-monitoring-statements-2019-20.xlsm" TargetMode="External"/><Relationship Id="rId7" Type="http://schemas.openxmlformats.org/officeDocument/2006/relationships/hyperlink" Target="https://nationalhighways.co.uk/media/5paempnz/ris2-omm-published-18-july-2023-final.pdf" TargetMode="External"/><Relationship Id="rId12" Type="http://schemas.openxmlformats.org/officeDocument/2006/relationships/hyperlink" Target="https://nationalhighways.co.uk/media/hslebq5b/annual-regional-benchmarking-report-2023-2024-final.pdf" TargetMode="External"/><Relationship Id="rId2" Type="http://schemas.openxmlformats.org/officeDocument/2006/relationships/hyperlink" Target="https://nationalhighways.co.uk/media/1sralyfr/2020-21-performance-monitoring-statements.xlsx" TargetMode="External"/><Relationship Id="rId1" Type="http://schemas.openxmlformats.org/officeDocument/2006/relationships/hyperlink" Target="mailto:highways.monitor@orr.gov.uk" TargetMode="External"/><Relationship Id="rId6" Type="http://schemas.openxmlformats.org/officeDocument/2006/relationships/hyperlink" Target="https://nationalhighways.co.uk/media/01sdbznz/2021-22-performance-monitoring-statements.xlsx" TargetMode="External"/><Relationship Id="rId11" Type="http://schemas.openxmlformats.org/officeDocument/2006/relationships/hyperlink" Target="https://nationalhighways.co.uk/media/hymao3xw/20240719-national-highways-performance-monitoring-statements-year-end-2023-24.pdf" TargetMode="External"/><Relationship Id="rId5" Type="http://schemas.openxmlformats.org/officeDocument/2006/relationships/hyperlink" Target="https://nationalhighways.co.uk/media/b0jdsyzl/2021-22-nh-regional-performance-disaggregation-final.xlsx" TargetMode="External"/><Relationship Id="rId10" Type="http://schemas.openxmlformats.org/officeDocument/2006/relationships/hyperlink" Target="https://nationalhighways.co.uk/media/qe1cjb2b/nh-srn-simplified-map-2023.pdf" TargetMode="External"/><Relationship Id="rId4" Type="http://schemas.openxmlformats.org/officeDocument/2006/relationships/hyperlink" Target="https://nationalhighways.co.uk/media/3smeti4y/2020-21-highways-england-regional-performance-disaggregation-1.xlsx" TargetMode="External"/><Relationship Id="rId9" Type="http://schemas.openxmlformats.org/officeDocument/2006/relationships/hyperlink" Target="https://nationalhighways.co.uk/media/fc5c5k0k/abr-v5-171023.pdf" TargetMode="External"/><Relationship Id="rId1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1.xml"/><Relationship Id="rId5" Type="http://schemas.openxmlformats.org/officeDocument/2006/relationships/pivotTable" Target="../pivotTables/pivotTable5.xml"/><Relationship Id="rId10" Type="http://schemas.openxmlformats.org/officeDocument/2006/relationships/drawing" Target="../drawings/drawing1.xml"/><Relationship Id="rId4" Type="http://schemas.openxmlformats.org/officeDocument/2006/relationships/pivotTable" Target="../pivotTables/pivotTable4.xml"/><Relationship Id="rId9"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36"/>
  <sheetViews>
    <sheetView tabSelected="1" topLeftCell="A10" workbookViewId="0">
      <selection activeCell="A27" sqref="A27"/>
    </sheetView>
  </sheetViews>
  <sheetFormatPr defaultColWidth="9" defaultRowHeight="15.6"/>
  <cols>
    <col min="1" max="1" width="207" style="2" customWidth="1"/>
    <col min="2" max="2" width="9" style="2" customWidth="1"/>
    <col min="3" max="3" width="10.5703125" style="2" bestFit="1" customWidth="1"/>
    <col min="4" max="16384" width="9" style="2"/>
  </cols>
  <sheetData>
    <row r="1" spans="1:1" customFormat="1" ht="30" customHeight="1">
      <c r="A1" s="23" t="s">
        <v>0</v>
      </c>
    </row>
    <row r="2" spans="1:1" customFormat="1" ht="248.1">
      <c r="A2" s="17" t="s">
        <v>1</v>
      </c>
    </row>
    <row r="3" spans="1:1" customFormat="1" ht="179.25" customHeight="1">
      <c r="A3" s="17" t="s">
        <v>2</v>
      </c>
    </row>
    <row r="4" spans="1:1" customFormat="1" ht="64.5" customHeight="1">
      <c r="A4" s="17" t="s">
        <v>3</v>
      </c>
    </row>
    <row r="5" spans="1:1" customFormat="1">
      <c r="A5" s="115" t="s">
        <v>4</v>
      </c>
    </row>
    <row r="6" spans="1:1" customFormat="1" ht="30.95">
      <c r="A6" s="17" t="s">
        <v>5</v>
      </c>
    </row>
    <row r="7" spans="1:1" customFormat="1">
      <c r="A7" s="17" t="s">
        <v>6</v>
      </c>
    </row>
    <row r="8" spans="1:1" customFormat="1">
      <c r="A8" s="26" t="s">
        <v>7</v>
      </c>
    </row>
    <row r="9" spans="1:1" customFormat="1" ht="18.600000000000001">
      <c r="A9" s="29" t="s">
        <v>8</v>
      </c>
    </row>
    <row r="10" spans="1:1" customFormat="1">
      <c r="A10" s="17" t="s">
        <v>9</v>
      </c>
    </row>
    <row r="11" spans="1:1" customFormat="1">
      <c r="A11" s="17" t="s">
        <v>10</v>
      </c>
    </row>
    <row r="12" spans="1:1" customFormat="1" ht="30.95">
      <c r="A12" s="17" t="s">
        <v>11</v>
      </c>
    </row>
    <row r="13" spans="1:1" customFormat="1" ht="18.600000000000001">
      <c r="A13" s="29" t="s">
        <v>12</v>
      </c>
    </row>
    <row r="14" spans="1:1" customFormat="1">
      <c r="A14" s="17" t="s">
        <v>13</v>
      </c>
    </row>
    <row r="15" spans="1:1" customFormat="1">
      <c r="A15" s="112" t="s">
        <v>14</v>
      </c>
    </row>
    <row r="16" spans="1:1" customFormat="1">
      <c r="A16" s="112" t="s">
        <v>15</v>
      </c>
    </row>
    <row r="17" spans="1:1" customFormat="1">
      <c r="A17" s="109" t="s">
        <v>16</v>
      </c>
    </row>
    <row r="18" spans="1:1" customFormat="1">
      <c r="A18" s="111" t="s">
        <v>17</v>
      </c>
    </row>
    <row r="19" spans="1:1" customFormat="1">
      <c r="A19" s="113" t="s">
        <v>18</v>
      </c>
    </row>
    <row r="20" spans="1:1" customFormat="1">
      <c r="A20" s="112" t="s">
        <v>19</v>
      </c>
    </row>
    <row r="21" spans="1:1" customFormat="1">
      <c r="A21" s="17" t="s">
        <v>20</v>
      </c>
    </row>
    <row r="22" spans="1:1" customFormat="1">
      <c r="A22" s="112" t="s">
        <v>21</v>
      </c>
    </row>
    <row r="23" spans="1:1" customFormat="1">
      <c r="A23" s="111" t="s">
        <v>22</v>
      </c>
    </row>
    <row r="24" spans="1:1" customFormat="1">
      <c r="A24" s="115" t="s">
        <v>23</v>
      </c>
    </row>
    <row r="25" spans="1:1" customFormat="1">
      <c r="A25" s="111" t="s">
        <v>24</v>
      </c>
    </row>
    <row r="26" spans="1:1" customFormat="1" ht="18.600000000000001">
      <c r="A26" s="30" t="s">
        <v>25</v>
      </c>
    </row>
    <row r="27" spans="1:1" customFormat="1">
      <c r="A27" s="27" t="s">
        <v>26</v>
      </c>
    </row>
    <row r="28" spans="1:1" customFormat="1" ht="18.600000000000001">
      <c r="A28" s="31" t="s">
        <v>27</v>
      </c>
    </row>
    <row r="29" spans="1:1" customFormat="1">
      <c r="A29" s="27" t="s">
        <v>28</v>
      </c>
    </row>
    <row r="30" spans="1:1" customFormat="1" ht="18.600000000000001">
      <c r="A30" s="31" t="s">
        <v>29</v>
      </c>
    </row>
    <row r="31" spans="1:1" customFormat="1">
      <c r="A31" s="27" t="s">
        <v>30</v>
      </c>
    </row>
    <row r="32" spans="1:1" customFormat="1" ht="18.600000000000001">
      <c r="A32" s="32" t="s">
        <v>31</v>
      </c>
    </row>
    <row r="33" spans="1:1">
      <c r="A33" s="1" t="s">
        <v>32</v>
      </c>
    </row>
    <row r="34" spans="1:1" ht="18.600000000000001">
      <c r="A34" s="33" t="s">
        <v>33</v>
      </c>
    </row>
    <row r="35" spans="1:1">
      <c r="A35" s="28" t="s">
        <v>34</v>
      </c>
    </row>
    <row r="36" spans="1:1">
      <c r="A36" s="1" t="s">
        <v>35</v>
      </c>
    </row>
  </sheetData>
  <hyperlinks>
    <hyperlink ref="A35" r:id="rId1" xr:uid="{0BB22A10-9B32-45F4-A0D6-C26BA427E3E4}"/>
    <hyperlink ref="A19" r:id="rId2" xr:uid="{8E560370-BEEE-4A31-A145-868FDF110304}"/>
    <hyperlink ref="A20" r:id="rId3" xr:uid="{AAB4A924-3F1D-4C19-824D-BD89E44EE48C}"/>
    <hyperlink ref="A25" r:id="rId4" xr:uid="{6D58F600-C6AA-4315-B88D-CE432AEE1347}"/>
    <hyperlink ref="A24" r:id="rId5" xr:uid="{15CD20C7-2BAA-44DC-9837-3ED40CDC4161}"/>
    <hyperlink ref="A18" r:id="rId6" xr:uid="{6D5C8CC6-3A06-4292-A393-6227B6EB85BA}"/>
    <hyperlink ref="A8" r:id="rId7" xr:uid="{61F23B19-F314-4063-8CE2-B567862CE6DA}"/>
    <hyperlink ref="A17" r:id="rId8" xr:uid="{758DBB38-05EF-4AF5-90AE-581E14579B19}"/>
    <hyperlink ref="A23" r:id="rId9" xr:uid="{FDB97052-1A6E-46C9-9E72-E19A1EDB3036}"/>
    <hyperlink ref="A5" r:id="rId10" xr:uid="{EEB3681F-31A3-47A7-AD4D-7CDC28FDB152}"/>
    <hyperlink ref="A16" r:id="rId11" xr:uid="{9DAA034A-2ABC-4D79-8294-EE2625BEF104}"/>
    <hyperlink ref="A22" r:id="rId12" xr:uid="{ED59E80A-ECC0-4C84-8C91-21512876D961}"/>
    <hyperlink ref="A15" r:id="rId13" xr:uid="{DEBB15A6-255F-48C5-86FA-9FCEEDE76BE4}"/>
  </hyperlinks>
  <pageMargins left="0.70000000000000007" right="0.70000000000000007" top="0.75" bottom="0.75" header="0.30000000000000004" footer="0.30000000000000004"/>
  <pageSetup paperSize="9" fitToWidth="0" fitToHeight="0" orientation="portrait"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81A7B-0DD6-4AD1-A64A-D558E3F9B2CE}">
  <sheetPr codeName="Sheet10">
    <tabColor rgb="FF253268"/>
  </sheetPr>
  <dimension ref="A1:B13"/>
  <sheetViews>
    <sheetView workbookViewId="0"/>
  </sheetViews>
  <sheetFormatPr defaultRowHeight="14.45"/>
  <cols>
    <col min="1" max="1" width="50.5703125" customWidth="1"/>
    <col min="2" max="2" width="20.5703125" customWidth="1"/>
    <col min="3" max="8" width="16.5703125" customWidth="1"/>
  </cols>
  <sheetData>
    <row r="1" spans="1:2" ht="30" customHeight="1">
      <c r="A1" s="87" t="s">
        <v>105</v>
      </c>
      <c r="B1" s="7"/>
    </row>
    <row r="2" spans="1:2" ht="20.100000000000001" customHeight="1">
      <c r="A2" s="24" t="s">
        <v>53</v>
      </c>
      <c r="B2" s="7"/>
    </row>
    <row r="3" spans="1:2" ht="20.100000000000001" customHeight="1">
      <c r="A3" s="47" t="s">
        <v>79</v>
      </c>
      <c r="B3" s="14"/>
    </row>
    <row r="4" spans="1:2" ht="50.25" customHeight="1">
      <c r="A4" s="4" t="s">
        <v>82</v>
      </c>
      <c r="B4" s="48" t="s">
        <v>83</v>
      </c>
    </row>
    <row r="5" spans="1:2" ht="20.100000000000001" customHeight="1">
      <c r="A5" s="34" t="s">
        <v>84</v>
      </c>
      <c r="B5" s="119">
        <v>0</v>
      </c>
    </row>
    <row r="6" spans="1:2" ht="20.100000000000001" customHeight="1">
      <c r="A6" s="34" t="s">
        <v>85</v>
      </c>
      <c r="B6" s="119">
        <v>0</v>
      </c>
    </row>
    <row r="7" spans="1:2" ht="20.100000000000001" customHeight="1">
      <c r="A7" s="34" t="s">
        <v>86</v>
      </c>
      <c r="B7" s="119">
        <v>0</v>
      </c>
    </row>
    <row r="8" spans="1:2" ht="20.100000000000001" customHeight="1">
      <c r="A8" s="34" t="s">
        <v>87</v>
      </c>
      <c r="B8" s="119">
        <v>0</v>
      </c>
    </row>
    <row r="9" spans="1:2" ht="20.100000000000001" customHeight="1" thickBot="1">
      <c r="A9" s="35" t="s">
        <v>88</v>
      </c>
      <c r="B9" s="120">
        <v>0</v>
      </c>
    </row>
    <row r="10" spans="1:2" ht="20.100000000000001" customHeight="1" thickTop="1">
      <c r="A10" s="34" t="s">
        <v>106</v>
      </c>
      <c r="B10" s="91">
        <v>0</v>
      </c>
    </row>
    <row r="11" spans="1:2" ht="20.45" customHeight="1">
      <c r="A11" s="34" t="s">
        <v>107</v>
      </c>
      <c r="B11" s="119">
        <v>0</v>
      </c>
    </row>
    <row r="12" spans="1:2" ht="20.45" customHeight="1">
      <c r="A12" s="34" t="s">
        <v>108</v>
      </c>
      <c r="B12" s="119">
        <v>0</v>
      </c>
    </row>
    <row r="13" spans="1:2" ht="19.5" customHeight="1">
      <c r="A13" s="34" t="s">
        <v>92</v>
      </c>
      <c r="B13" s="91">
        <v>0</v>
      </c>
    </row>
  </sheetData>
  <pageMargins left="0.7" right="0.7" top="0.75" bottom="0.75" header="0.3" footer="0.3"/>
  <pageSetup paperSize="0"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534B8-B2B1-4AED-A0D0-623280BA6FAF}">
  <sheetPr codeName="Sheet11">
    <tabColor rgb="FF253268"/>
  </sheetPr>
  <dimension ref="A1:H9"/>
  <sheetViews>
    <sheetView workbookViewId="0"/>
  </sheetViews>
  <sheetFormatPr defaultRowHeight="14.45"/>
  <cols>
    <col min="1" max="1" width="50.5703125" customWidth="1"/>
    <col min="2" max="2" width="20.5703125" customWidth="1"/>
    <col min="3" max="8" width="16.5703125" customWidth="1"/>
  </cols>
  <sheetData>
    <row r="1" spans="1:8" ht="30" customHeight="1">
      <c r="A1" s="87" t="s">
        <v>109</v>
      </c>
      <c r="B1" s="7"/>
      <c r="C1" s="7"/>
      <c r="D1" s="7"/>
      <c r="E1" s="7"/>
      <c r="F1" s="7"/>
      <c r="G1" s="7"/>
      <c r="H1" s="7"/>
    </row>
    <row r="2" spans="1:8" ht="20.100000000000001" customHeight="1">
      <c r="A2" s="24" t="s">
        <v>53</v>
      </c>
      <c r="B2" s="7"/>
      <c r="C2" s="7"/>
      <c r="D2" s="7"/>
      <c r="E2" s="7"/>
      <c r="F2" s="7"/>
      <c r="G2" s="7"/>
      <c r="H2" s="7"/>
    </row>
    <row r="3" spans="1:8" ht="20.100000000000001" customHeight="1">
      <c r="A3" s="47" t="s">
        <v>79</v>
      </c>
      <c r="B3" s="14"/>
    </row>
    <row r="4" spans="1:8" s="12" customFormat="1" ht="50.25" customHeight="1">
      <c r="A4" s="4" t="s">
        <v>82</v>
      </c>
      <c r="B4" s="48" t="s">
        <v>83</v>
      </c>
      <c r="C4" s="12" t="s">
        <v>94</v>
      </c>
      <c r="D4" s="12" t="s">
        <v>95</v>
      </c>
      <c r="E4" s="12" t="s">
        <v>96</v>
      </c>
      <c r="F4" s="12" t="s">
        <v>97</v>
      </c>
      <c r="G4" s="12" t="s">
        <v>98</v>
      </c>
      <c r="H4" s="12" t="s">
        <v>99</v>
      </c>
    </row>
    <row r="5" spans="1:8" s="12" customFormat="1" ht="20.100000000000001" customHeight="1" thickBot="1">
      <c r="A5" s="40" t="s">
        <v>88</v>
      </c>
      <c r="B5" s="97">
        <v>7905</v>
      </c>
      <c r="C5" s="98">
        <v>1026</v>
      </c>
      <c r="D5" s="99">
        <v>935</v>
      </c>
      <c r="E5" s="99">
        <v>1312</v>
      </c>
      <c r="F5" s="99">
        <v>1259</v>
      </c>
      <c r="G5" s="99">
        <v>2591</v>
      </c>
      <c r="H5" s="99">
        <v>782</v>
      </c>
    </row>
    <row r="6" spans="1:8" s="4" customFormat="1" ht="20.100000000000001" customHeight="1" thickTop="1">
      <c r="A6" s="4" t="s">
        <v>89</v>
      </c>
      <c r="B6" s="91">
        <v>5267</v>
      </c>
      <c r="C6" s="92">
        <v>636</v>
      </c>
      <c r="D6" s="92">
        <v>605</v>
      </c>
      <c r="E6" s="92">
        <v>910</v>
      </c>
      <c r="F6" s="92">
        <v>833</v>
      </c>
      <c r="G6" s="92">
        <v>1765</v>
      </c>
      <c r="H6" s="92">
        <v>518</v>
      </c>
    </row>
    <row r="7" spans="1:8" ht="20.45" customHeight="1">
      <c r="A7" s="4" t="s">
        <v>90</v>
      </c>
      <c r="B7" s="91">
        <v>6539</v>
      </c>
      <c r="C7" s="106">
        <v>849</v>
      </c>
      <c r="D7" s="107">
        <v>798</v>
      </c>
      <c r="E7" s="107">
        <v>1237</v>
      </c>
      <c r="F7" s="107">
        <v>940</v>
      </c>
      <c r="G7" s="107">
        <v>2043</v>
      </c>
      <c r="H7" s="107">
        <v>672</v>
      </c>
    </row>
    <row r="8" spans="1:8" ht="20.45" customHeight="1">
      <c r="A8" s="4" t="s">
        <v>91</v>
      </c>
      <c r="B8" s="91">
        <v>6771</v>
      </c>
      <c r="C8" s="106">
        <v>914</v>
      </c>
      <c r="D8" s="107">
        <v>777</v>
      </c>
      <c r="E8" s="107">
        <v>1172</v>
      </c>
      <c r="F8" s="107">
        <v>1032</v>
      </c>
      <c r="G8" s="107">
        <v>2238</v>
      </c>
      <c r="H8" s="107">
        <v>638</v>
      </c>
    </row>
    <row r="9" spans="1:8" ht="19.5" customHeight="1">
      <c r="A9" s="4" t="s">
        <v>92</v>
      </c>
      <c r="B9" s="91">
        <v>6577</v>
      </c>
      <c r="C9" s="123" t="s">
        <v>100</v>
      </c>
      <c r="D9" s="124" t="s">
        <v>100</v>
      </c>
      <c r="E9" s="124" t="s">
        <v>100</v>
      </c>
      <c r="F9" s="124" t="s">
        <v>100</v>
      </c>
      <c r="G9" s="124" t="s">
        <v>100</v>
      </c>
      <c r="H9" s="124" t="s">
        <v>100</v>
      </c>
    </row>
  </sheetData>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38DB0-8520-4C75-811F-654A6A4F2CB8}">
  <sheetPr codeName="Sheet12">
    <tabColor rgb="FF253268"/>
  </sheetPr>
  <dimension ref="A1:H8"/>
  <sheetViews>
    <sheetView workbookViewId="0"/>
  </sheetViews>
  <sheetFormatPr defaultRowHeight="14.45"/>
  <cols>
    <col min="1" max="1" width="50.5703125" customWidth="1"/>
    <col min="2" max="8" width="25.5703125" customWidth="1"/>
  </cols>
  <sheetData>
    <row r="1" spans="1:8" ht="30" customHeight="1">
      <c r="A1" s="87" t="s">
        <v>110</v>
      </c>
      <c r="B1" s="7"/>
      <c r="C1" s="7"/>
      <c r="D1" s="7"/>
      <c r="E1" s="7"/>
      <c r="F1" s="7"/>
      <c r="G1" s="7"/>
      <c r="H1" s="7"/>
    </row>
    <row r="2" spans="1:8" ht="20.100000000000001" customHeight="1">
      <c r="A2" s="24" t="s">
        <v>53</v>
      </c>
      <c r="B2" s="7"/>
      <c r="C2" s="7"/>
      <c r="D2" s="7"/>
      <c r="E2" s="7"/>
      <c r="F2" s="7"/>
      <c r="G2" s="7"/>
      <c r="H2" s="7"/>
    </row>
    <row r="3" spans="1:8" s="11" customFormat="1" ht="50.1" customHeight="1">
      <c r="A3" s="4" t="s">
        <v>82</v>
      </c>
      <c r="B3" s="48" t="s">
        <v>111</v>
      </c>
      <c r="C3" s="12" t="s">
        <v>112</v>
      </c>
      <c r="D3" s="12" t="s">
        <v>113</v>
      </c>
      <c r="E3" s="12" t="s">
        <v>114</v>
      </c>
      <c r="F3" s="12" t="s">
        <v>115</v>
      </c>
      <c r="G3" s="12" t="s">
        <v>116</v>
      </c>
      <c r="H3" s="12" t="s">
        <v>117</v>
      </c>
    </row>
    <row r="4" spans="1:8" s="11" customFormat="1" ht="20.45" customHeight="1">
      <c r="A4" s="4" t="s">
        <v>118</v>
      </c>
      <c r="B4" s="52">
        <v>0.05</v>
      </c>
      <c r="C4" s="80">
        <v>0.06</v>
      </c>
      <c r="D4" s="80">
        <v>0</v>
      </c>
      <c r="E4" s="80">
        <v>0.05</v>
      </c>
      <c r="F4" s="80">
        <v>0.11</v>
      </c>
      <c r="G4" s="80">
        <v>0.06</v>
      </c>
      <c r="H4" s="80">
        <v>0</v>
      </c>
    </row>
    <row r="5" spans="1:8" s="11" customFormat="1" ht="20.45" customHeight="1">
      <c r="A5" s="4" t="s">
        <v>119</v>
      </c>
      <c r="B5" s="52">
        <v>0.05</v>
      </c>
      <c r="C5" s="80">
        <v>0.06</v>
      </c>
      <c r="D5" s="80">
        <v>0.14000000000000001</v>
      </c>
      <c r="E5" s="80">
        <v>0.13</v>
      </c>
      <c r="F5" s="80">
        <v>0</v>
      </c>
      <c r="G5" s="80">
        <v>0.05</v>
      </c>
      <c r="H5" s="80">
        <v>0.06</v>
      </c>
    </row>
    <row r="6" spans="1:8" ht="20.45" customHeight="1">
      <c r="A6" s="4" t="s">
        <v>120</v>
      </c>
      <c r="B6" s="52">
        <v>0.03</v>
      </c>
      <c r="C6" s="80">
        <v>0.1</v>
      </c>
      <c r="D6" s="80">
        <v>0</v>
      </c>
      <c r="E6" s="80">
        <v>0.02</v>
      </c>
      <c r="F6" s="80">
        <v>0</v>
      </c>
      <c r="G6" s="80">
        <v>0</v>
      </c>
      <c r="H6" s="80">
        <v>0.06</v>
      </c>
    </row>
    <row r="7" spans="1:8" ht="20.45" customHeight="1">
      <c r="A7" s="4" t="s">
        <v>121</v>
      </c>
      <c r="B7" s="52">
        <v>7.0000000000000007E-2</v>
      </c>
      <c r="C7" s="80">
        <v>0</v>
      </c>
      <c r="D7" s="80">
        <v>0.06</v>
      </c>
      <c r="E7" s="80">
        <v>7.0000000000000007E-2</v>
      </c>
      <c r="F7" s="80">
        <v>0.15</v>
      </c>
      <c r="G7" s="80">
        <v>0.06</v>
      </c>
      <c r="H7" s="80">
        <v>0.09</v>
      </c>
    </row>
    <row r="8" spans="1:8" ht="20.25" customHeight="1">
      <c r="A8" s="4" t="s">
        <v>122</v>
      </c>
      <c r="B8" s="52">
        <v>0.06</v>
      </c>
      <c r="C8" s="122" t="s">
        <v>100</v>
      </c>
      <c r="D8" s="122" t="s">
        <v>100</v>
      </c>
      <c r="E8" s="122" t="s">
        <v>100</v>
      </c>
      <c r="F8" s="122" t="s">
        <v>100</v>
      </c>
      <c r="G8" s="122" t="s">
        <v>100</v>
      </c>
      <c r="H8" s="122" t="s">
        <v>100</v>
      </c>
    </row>
  </sheetData>
  <phoneticPr fontId="168" type="noConversion"/>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D253C-3453-401C-91DB-F3AEAD862137}">
  <sheetPr codeName="Sheet13">
    <tabColor rgb="FF253268"/>
  </sheetPr>
  <dimension ref="A1:H17"/>
  <sheetViews>
    <sheetView workbookViewId="0"/>
  </sheetViews>
  <sheetFormatPr defaultRowHeight="14.45"/>
  <cols>
    <col min="1" max="1" width="50.5703125" customWidth="1"/>
    <col min="2" max="8" width="25.5703125" customWidth="1"/>
  </cols>
  <sheetData>
    <row r="1" spans="1:8" ht="30" customHeight="1">
      <c r="A1" s="87" t="s">
        <v>123</v>
      </c>
      <c r="B1" s="7"/>
      <c r="C1" s="7"/>
      <c r="D1" s="7"/>
      <c r="E1" s="7"/>
      <c r="F1" s="7"/>
      <c r="G1" s="7"/>
      <c r="H1" s="7"/>
    </row>
    <row r="2" spans="1:8" ht="20.100000000000001" customHeight="1">
      <c r="A2" s="3" t="s">
        <v>53</v>
      </c>
      <c r="B2" s="7"/>
      <c r="C2" s="7"/>
      <c r="D2" s="7"/>
      <c r="E2" s="7"/>
      <c r="F2" s="7"/>
      <c r="G2" s="7"/>
      <c r="H2" s="7"/>
    </row>
    <row r="3" spans="1:8" s="12" customFormat="1" ht="50.25" customHeight="1">
      <c r="A3" s="4" t="s">
        <v>82</v>
      </c>
      <c r="B3" s="48" t="s">
        <v>111</v>
      </c>
      <c r="C3" s="12" t="s">
        <v>112</v>
      </c>
      <c r="D3" s="12" t="s">
        <v>113</v>
      </c>
      <c r="E3" s="12" t="s">
        <v>114</v>
      </c>
      <c r="F3" s="12" t="s">
        <v>115</v>
      </c>
      <c r="G3" s="12" t="s">
        <v>116</v>
      </c>
      <c r="H3" s="12" t="s">
        <v>117</v>
      </c>
    </row>
    <row r="4" spans="1:8" s="4" customFormat="1" ht="20.25" customHeight="1">
      <c r="A4" s="4" t="s">
        <v>118</v>
      </c>
      <c r="B4" s="52">
        <v>0.05</v>
      </c>
      <c r="C4" s="38">
        <v>0</v>
      </c>
      <c r="D4" s="38">
        <v>7.0000000000000007E-2</v>
      </c>
      <c r="E4" s="38">
        <v>0.03</v>
      </c>
      <c r="F4" s="38">
        <v>0</v>
      </c>
      <c r="G4" s="38">
        <v>7.0000000000000007E-2</v>
      </c>
      <c r="H4" s="38">
        <v>0.14000000000000001</v>
      </c>
    </row>
    <row r="5" spans="1:8" s="4" customFormat="1" ht="20.25" customHeight="1">
      <c r="A5" s="4" t="s">
        <v>119</v>
      </c>
      <c r="B5" s="53">
        <v>7.0000000000000007E-2</v>
      </c>
      <c r="C5" s="38">
        <v>0.05</v>
      </c>
      <c r="D5" s="38">
        <v>0.14000000000000001</v>
      </c>
      <c r="E5" s="38">
        <v>0.03</v>
      </c>
      <c r="F5" s="38">
        <v>0.08</v>
      </c>
      <c r="G5" s="38">
        <v>0.05</v>
      </c>
      <c r="H5" s="38">
        <v>0.11</v>
      </c>
    </row>
    <row r="6" spans="1:8" ht="20.45" customHeight="1">
      <c r="A6" s="4" t="s">
        <v>120</v>
      </c>
      <c r="B6" s="52">
        <v>0.08</v>
      </c>
      <c r="C6" s="38">
        <v>0.09</v>
      </c>
      <c r="D6" s="38">
        <v>0.05</v>
      </c>
      <c r="E6" s="38">
        <v>0.08</v>
      </c>
      <c r="F6" s="38">
        <v>0.08</v>
      </c>
      <c r="G6" s="38">
        <v>0.12</v>
      </c>
      <c r="H6" s="38">
        <v>0.03</v>
      </c>
    </row>
    <row r="7" spans="1:8" ht="20.45" customHeight="1">
      <c r="A7" s="4" t="s">
        <v>121</v>
      </c>
      <c r="B7" s="52">
        <v>7.0000000000000007E-2</v>
      </c>
      <c r="C7" s="38">
        <v>0.13</v>
      </c>
      <c r="D7" s="38">
        <v>0.03</v>
      </c>
      <c r="E7" s="38">
        <v>0.01</v>
      </c>
      <c r="F7" s="38">
        <v>0.11</v>
      </c>
      <c r="G7" s="38">
        <v>7.0000000000000007E-2</v>
      </c>
      <c r="H7" s="38">
        <v>0.09</v>
      </c>
    </row>
    <row r="8" spans="1:8" ht="20.25" customHeight="1">
      <c r="A8" s="4" t="s">
        <v>122</v>
      </c>
      <c r="B8" s="52">
        <v>0.09</v>
      </c>
      <c r="C8" s="38" t="s">
        <v>100</v>
      </c>
      <c r="D8" s="38" t="s">
        <v>100</v>
      </c>
      <c r="E8" s="38" t="s">
        <v>100</v>
      </c>
      <c r="F8" s="38" t="s">
        <v>100</v>
      </c>
      <c r="G8" s="38" t="s">
        <v>100</v>
      </c>
      <c r="H8" s="38" t="s">
        <v>100</v>
      </c>
    </row>
    <row r="12" spans="1:8" ht="15.6">
      <c r="C12" s="38"/>
    </row>
    <row r="13" spans="1:8" ht="15.6">
      <c r="C13" s="38"/>
    </row>
    <row r="14" spans="1:8" ht="15.6">
      <c r="C14" s="38"/>
    </row>
    <row r="15" spans="1:8" ht="15.6">
      <c r="C15" s="38"/>
    </row>
    <row r="16" spans="1:8" ht="15.6">
      <c r="C16" s="38"/>
    </row>
    <row r="17" spans="3:3" ht="15.6">
      <c r="C17" s="38"/>
    </row>
  </sheetData>
  <pageMargins left="0.7" right="0.7" top="0.75" bottom="0.75" header="0.3" footer="0.3"/>
  <pageSetup paperSize="0"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AE7FF-ED4D-47BB-B357-AE60F4891C00}">
  <sheetPr codeName="Sheet14">
    <tabColor rgb="FF253268"/>
  </sheetPr>
  <dimension ref="A1:B9"/>
  <sheetViews>
    <sheetView workbookViewId="0"/>
  </sheetViews>
  <sheetFormatPr defaultRowHeight="14.45"/>
  <cols>
    <col min="1" max="1" width="50.5703125" customWidth="1"/>
    <col min="2" max="2" width="20.5703125" customWidth="1"/>
    <col min="3" max="8" width="16.5703125" customWidth="1"/>
  </cols>
  <sheetData>
    <row r="1" spans="1:2" ht="30" customHeight="1">
      <c r="A1" s="87" t="s">
        <v>124</v>
      </c>
      <c r="B1" s="7"/>
    </row>
    <row r="2" spans="1:2" ht="20.100000000000001" customHeight="1">
      <c r="A2" s="3" t="s">
        <v>53</v>
      </c>
      <c r="B2" s="7"/>
    </row>
    <row r="3" spans="1:2" ht="20.100000000000001" customHeight="1">
      <c r="A3" s="3" t="s">
        <v>125</v>
      </c>
      <c r="B3" s="7"/>
    </row>
    <row r="4" spans="1:2" ht="50.1" customHeight="1">
      <c r="A4" s="4" t="s">
        <v>82</v>
      </c>
      <c r="B4" s="48" t="s">
        <v>126</v>
      </c>
    </row>
    <row r="5" spans="1:2" ht="20.100000000000001" customHeight="1">
      <c r="A5" s="4" t="s">
        <v>127</v>
      </c>
      <c r="B5" s="52" t="s">
        <v>100</v>
      </c>
    </row>
    <row r="6" spans="1:2" ht="20.100000000000001" customHeight="1">
      <c r="A6" s="4" t="s">
        <v>119</v>
      </c>
      <c r="B6" s="121">
        <v>89</v>
      </c>
    </row>
    <row r="7" spans="1:2" ht="20.45" customHeight="1">
      <c r="A7" s="4" t="s">
        <v>120</v>
      </c>
      <c r="B7" s="52">
        <v>89</v>
      </c>
    </row>
    <row r="8" spans="1:2" ht="20.45" customHeight="1">
      <c r="A8" s="4" t="s">
        <v>121</v>
      </c>
      <c r="B8" s="52">
        <v>89</v>
      </c>
    </row>
    <row r="9" spans="1:2" ht="20.25" customHeight="1">
      <c r="A9" s="4" t="s">
        <v>122</v>
      </c>
      <c r="B9" s="52">
        <v>89</v>
      </c>
    </row>
  </sheetData>
  <pageMargins left="0.7" right="0.7" top="0.75" bottom="0.75" header="0.3" footer="0.3"/>
  <pageSetup paperSize="0"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7C443-6545-47EE-AB66-6EDAD9FCE4EF}">
  <sheetPr codeName="Sheet17">
    <tabColor rgb="FFFFC000"/>
  </sheetPr>
  <dimension ref="A4:U85"/>
  <sheetViews>
    <sheetView workbookViewId="0">
      <selection activeCell="B4" sqref="B4"/>
    </sheetView>
  </sheetViews>
  <sheetFormatPr defaultRowHeight="14.45"/>
  <cols>
    <col min="1" max="1" width="6.85546875" bestFit="1" customWidth="1"/>
    <col min="2" max="2" width="16.85546875" bestFit="1" customWidth="1"/>
    <col min="3" max="3" width="12" bestFit="1" customWidth="1"/>
    <col min="4" max="4" width="10" bestFit="1" customWidth="1"/>
    <col min="5" max="5" width="5.85546875" bestFit="1" customWidth="1"/>
    <col min="6" max="6" width="11.140625" bestFit="1" customWidth="1"/>
    <col min="7" max="7" width="12" bestFit="1" customWidth="1"/>
    <col min="8" max="8" width="16.85546875" bestFit="1" customWidth="1"/>
    <col min="10" max="10" width="6.85546875" bestFit="1" customWidth="1"/>
    <col min="11" max="11" width="10" bestFit="1" customWidth="1"/>
    <col min="13" max="13" width="6.85546875" bestFit="1" customWidth="1"/>
    <col min="14" max="14" width="5.85546875" bestFit="1" customWidth="1"/>
    <col min="15" max="15" width="11.5703125" bestFit="1" customWidth="1"/>
    <col min="16" max="16" width="6.85546875" bestFit="1" customWidth="1"/>
    <col min="17" max="17" width="11.140625" bestFit="1" customWidth="1"/>
    <col min="18" max="18" width="13" customWidth="1"/>
    <col min="19" max="19" width="6.85546875" bestFit="1" customWidth="1"/>
    <col min="20" max="20" width="12" bestFit="1" customWidth="1"/>
    <col min="21" max="21" width="18" bestFit="1" customWidth="1"/>
  </cols>
  <sheetData>
    <row r="4" spans="1:20">
      <c r="A4" s="54" t="s">
        <v>128</v>
      </c>
    </row>
    <row r="5" spans="1:20">
      <c r="A5" s="44" t="s">
        <v>129</v>
      </c>
      <c r="B5" t="s">
        <v>130</v>
      </c>
      <c r="D5" s="44" t="s">
        <v>129</v>
      </c>
      <c r="E5" t="s">
        <v>131</v>
      </c>
      <c r="G5" s="44" t="s">
        <v>129</v>
      </c>
      <c r="H5" t="s">
        <v>132</v>
      </c>
      <c r="J5" s="44" t="s">
        <v>129</v>
      </c>
      <c r="K5" t="s">
        <v>133</v>
      </c>
      <c r="M5" s="44" t="s">
        <v>129</v>
      </c>
      <c r="N5" t="s">
        <v>134</v>
      </c>
      <c r="P5" s="44" t="s">
        <v>129</v>
      </c>
      <c r="Q5" t="s">
        <v>135</v>
      </c>
      <c r="S5" s="44" t="s">
        <v>129</v>
      </c>
      <c r="T5" t="s">
        <v>136</v>
      </c>
    </row>
    <row r="6" spans="1:20">
      <c r="A6" s="45" t="s">
        <v>137</v>
      </c>
      <c r="B6">
        <v>2338</v>
      </c>
      <c r="D6" s="45" t="s">
        <v>137</v>
      </c>
      <c r="E6">
        <v>0</v>
      </c>
      <c r="G6" s="45" t="s">
        <v>137</v>
      </c>
      <c r="H6">
        <v>0</v>
      </c>
      <c r="J6" s="45" t="s">
        <v>137</v>
      </c>
      <c r="K6">
        <v>0</v>
      </c>
      <c r="M6" s="45" t="s">
        <v>137</v>
      </c>
      <c r="N6">
        <v>0</v>
      </c>
      <c r="P6" s="45" t="s">
        <v>137</v>
      </c>
      <c r="Q6">
        <v>0</v>
      </c>
      <c r="S6" s="45" t="s">
        <v>137</v>
      </c>
      <c r="T6">
        <v>0</v>
      </c>
    </row>
    <row r="7" spans="1:20">
      <c r="A7" s="45" t="s">
        <v>138</v>
      </c>
      <c r="B7">
        <v>2281</v>
      </c>
      <c r="D7" s="45" t="s">
        <v>138</v>
      </c>
      <c r="E7">
        <v>0</v>
      </c>
      <c r="G7" s="45" t="s">
        <v>138</v>
      </c>
      <c r="H7">
        <v>0</v>
      </c>
      <c r="J7" s="45" t="s">
        <v>138</v>
      </c>
      <c r="K7">
        <v>0</v>
      </c>
      <c r="M7" s="45" t="s">
        <v>138</v>
      </c>
      <c r="N7">
        <v>0</v>
      </c>
      <c r="P7" s="45" t="s">
        <v>138</v>
      </c>
      <c r="Q7">
        <v>0</v>
      </c>
      <c r="S7" s="45" t="s">
        <v>138</v>
      </c>
      <c r="T7">
        <v>0</v>
      </c>
    </row>
    <row r="8" spans="1:20">
      <c r="A8" s="45" t="s">
        <v>139</v>
      </c>
      <c r="B8">
        <v>2091</v>
      </c>
      <c r="D8" s="45" t="s">
        <v>139</v>
      </c>
      <c r="E8">
        <v>0</v>
      </c>
      <c r="G8" s="45" t="s">
        <v>139</v>
      </c>
      <c r="H8">
        <v>0</v>
      </c>
      <c r="J8" s="45" t="s">
        <v>139</v>
      </c>
      <c r="K8">
        <v>0</v>
      </c>
      <c r="M8" s="45" t="s">
        <v>139</v>
      </c>
      <c r="N8">
        <v>0</v>
      </c>
      <c r="P8" s="45" t="s">
        <v>139</v>
      </c>
      <c r="Q8">
        <v>0</v>
      </c>
      <c r="S8" s="45" t="s">
        <v>139</v>
      </c>
      <c r="T8">
        <v>0</v>
      </c>
    </row>
    <row r="9" spans="1:20">
      <c r="A9" s="45" t="s">
        <v>140</v>
      </c>
      <c r="B9">
        <v>1297</v>
      </c>
      <c r="D9" s="45" t="s">
        <v>140</v>
      </c>
      <c r="E9">
        <v>0</v>
      </c>
      <c r="G9" s="45" t="s">
        <v>140</v>
      </c>
      <c r="H9">
        <v>0</v>
      </c>
      <c r="J9" s="45" t="s">
        <v>140</v>
      </c>
      <c r="K9">
        <v>0</v>
      </c>
      <c r="M9" s="45" t="s">
        <v>140</v>
      </c>
      <c r="N9">
        <v>0</v>
      </c>
      <c r="P9" s="45" t="s">
        <v>140</v>
      </c>
      <c r="Q9">
        <v>0</v>
      </c>
      <c r="S9" s="45" t="s">
        <v>140</v>
      </c>
      <c r="T9">
        <v>0</v>
      </c>
    </row>
    <row r="10" spans="1:20">
      <c r="A10" s="45" t="s">
        <v>141</v>
      </c>
      <c r="B10">
        <v>2086</v>
      </c>
      <c r="D10" s="45" t="s">
        <v>141</v>
      </c>
      <c r="E10">
        <v>0</v>
      </c>
      <c r="G10" s="45" t="s">
        <v>141</v>
      </c>
      <c r="H10">
        <v>0</v>
      </c>
      <c r="J10" s="45" t="s">
        <v>141</v>
      </c>
      <c r="K10">
        <v>0</v>
      </c>
      <c r="M10" s="45" t="s">
        <v>141</v>
      </c>
      <c r="N10">
        <v>0</v>
      </c>
      <c r="P10" s="45" t="s">
        <v>141</v>
      </c>
      <c r="Q10">
        <v>0</v>
      </c>
      <c r="S10" s="45" t="s">
        <v>141</v>
      </c>
      <c r="T10">
        <v>0</v>
      </c>
    </row>
    <row r="11" spans="1:20">
      <c r="A11" s="45" t="s">
        <v>142</v>
      </c>
      <c r="B11">
        <v>1415</v>
      </c>
      <c r="D11" s="45" t="s">
        <v>142</v>
      </c>
      <c r="E11">
        <v>0</v>
      </c>
      <c r="G11" s="45" t="s">
        <v>142</v>
      </c>
      <c r="H11">
        <v>0</v>
      </c>
      <c r="J11" s="45" t="s">
        <v>142</v>
      </c>
      <c r="K11">
        <v>0</v>
      </c>
      <c r="M11" s="45" t="s">
        <v>142</v>
      </c>
      <c r="N11">
        <v>0</v>
      </c>
      <c r="P11" s="45" t="s">
        <v>142</v>
      </c>
      <c r="Q11">
        <v>0</v>
      </c>
      <c r="S11" s="45" t="s">
        <v>142</v>
      </c>
      <c r="T11">
        <v>0</v>
      </c>
    </row>
    <row r="12" spans="1:20">
      <c r="A12" s="45" t="s">
        <v>143</v>
      </c>
      <c r="B12">
        <v>1832</v>
      </c>
      <c r="D12" s="45" t="s">
        <v>143</v>
      </c>
      <c r="E12">
        <v>0</v>
      </c>
      <c r="G12" s="45" t="s">
        <v>143</v>
      </c>
      <c r="H12">
        <v>0</v>
      </c>
      <c r="J12" s="45" t="s">
        <v>143</v>
      </c>
      <c r="K12">
        <v>0</v>
      </c>
      <c r="M12" s="45" t="s">
        <v>143</v>
      </c>
      <c r="N12">
        <v>0</v>
      </c>
      <c r="P12" s="45" t="s">
        <v>143</v>
      </c>
      <c r="Q12">
        <v>0</v>
      </c>
      <c r="S12" s="45" t="s">
        <v>143</v>
      </c>
      <c r="T12">
        <v>0</v>
      </c>
    </row>
    <row r="13" spans="1:20">
      <c r="A13" s="45" t="s">
        <v>144</v>
      </c>
      <c r="B13">
        <v>1939</v>
      </c>
      <c r="D13" s="45" t="s">
        <v>144</v>
      </c>
      <c r="E13">
        <v>0</v>
      </c>
      <c r="G13" s="45" t="s">
        <v>144</v>
      </c>
      <c r="H13">
        <v>0</v>
      </c>
      <c r="J13" s="45" t="s">
        <v>144</v>
      </c>
      <c r="K13">
        <v>0</v>
      </c>
      <c r="M13" s="45" t="s">
        <v>144</v>
      </c>
      <c r="N13">
        <v>0</v>
      </c>
      <c r="P13" s="45" t="s">
        <v>144</v>
      </c>
      <c r="Q13">
        <v>0</v>
      </c>
      <c r="S13" s="45" t="s">
        <v>144</v>
      </c>
      <c r="T13">
        <v>0</v>
      </c>
    </row>
    <row r="22" spans="1:1">
      <c r="A22" s="55" t="s">
        <v>145</v>
      </c>
    </row>
    <row r="23" spans="1:1">
      <c r="A23" s="56" t="str">
        <f>IF(B41="The number of people killed or seriously injured (KSI)","The number of people killed or seriously injured (KPI).",IF(B41="Total number of people killed or injured","Total number of people killed or injured (PI).",IF(B41="The number of non-motorised and motorcyclist users killed or injured","The total number of pedestrian, pedal cyclist, motorcyclist and equestrian casualties on the SRN (PI).",IF(B41=" The number of motorcyclists killed or injured","The number of motorcyclist users killed or injured (PI).",IF(B41=" The number of cyclists killed or injured","The number of cyclists killed or injured (PI).",IF(B41="The number of pedestrians killed or injured","The number of pedestrians killed or injured (PI).",IF(B41="The number of equestrians killed or injured","The number of equestrians killed or injured (PI).",IF(B41="The number of injury collisions","The number of injury collisions (PI).",IF(B41="The accident frequency rate for National Highways staff","The accident frequency rate for National Highways staff (PI).",IF(B41="The accident frequency rate for National Highways supply chain staff","The accident frequency rate for National Highways supply chain staff (PI).",IF(B41="The % of traffic using iRAP 3 or above rated roads","The percentage of traffic using iRAP 3 or above rated roads (PI).")))))))))))</f>
        <v>The number of people killed or seriously injured (KPI).</v>
      </c>
    </row>
    <row r="24" spans="1:1">
      <c r="A24" s="56" t="str">
        <f>IF(B41="The number of people killed or seriously injured (KSI)","National-level target for road period 2:  A reduction in the number of KSI (adjusted figures) of at least 50% by the end of 2025 compared to 2005-09.","")</f>
        <v>National-level target for road period 2:  A reduction in the number of KSI (adjusted figures) of at least 50% by the end of 2025 compared to 2005-09.</v>
      </c>
    </row>
    <row r="25" spans="1:1">
      <c r="A25" s="56" t="str">
        <f>IF(B41="The number of people killed or seriously injured (KSI)","Measure: Number. ***Change in methodology – See Note 2.",IF(B41="Total number of people killed or injured","Measure: Number.",IF(B41="The number of non-motorised and motorcyclist users killed or injured","Measure: Number.",IF(B41=" The number of motorcyclists killed or injured","Measure: Number.",IF(B41=" The number of cyclists killed or injured","Measure: Number.",IF(B41="The number of pedestrians killed or injured","Measure: Number.",IF(B41="The number of equestrians killed or injured","Measure: Number.",IF(B41="The number of injury collisions","Measure: Number.",IF(B41="The accident frequency rate for National Highways staff","Measure: RIDDORs per 100,000 hours worked.",IF(B41="The accident frequency rate for National Highways supply chain staff","Measure: RIDDORs per 100,000 hours worked.",IF(B41="The % of traffic using iRAP 3 or above rated roads","Measure: Percentage.")))))))))))</f>
        <v>Measure: Number. ***Change in methodology – See Note 2.</v>
      </c>
    </row>
    <row r="26" spans="1:1">
      <c r="A26" s="56" t="str">
        <f>IF(B41="The % of traffic using iRAP 3* or above rated roads","percentage points","")</f>
        <v/>
      </c>
    </row>
    <row r="27" spans="1:1">
      <c r="A27" s="56" t="str">
        <f>IF(B41="The number of people killed or seriously injured (KSI)","Measure: Number (See Notes 1, 2 &amp; 3)",IF(B41="Total number of people killed or injured","Measure: Number (See Notes 1 &amp; 3)",IF(B41="The number of non-motorised and motorcyclist users killed or injured","Measure: Number (See Notes 1 &amp; 3)",IF(B41=" The number of motorcyclists killed or injured","Measure: Number (See Notes 1 &amp; 3)",IF(B41=" The number of cyclists killed or injured","Measure: Number (See Notes 1 &amp; 3)",IF(B41="The number of pedestrians killed or injured","Measure: Number (See Notes 1 &amp; 3)",IF(B41="The number of equestrians killed or injured","Measure: Number (See note 3)",IF(B41="The number of injury collisions","Measure: Number (See Notes 1, 3 &amp; 6)",IF(B41="The accident frequency rate for National Highways staff","Measure: RIDDORs per 100,000 hours worked (See Notes 5, 6 &amp; 7)",IF(B41="The accident frequency rate for National Highways supply chain staff","Measure: RIDDORs per 100,000 hours worked (See Notes 5, 6 &amp; 7)",IF(B41="The % of traffic using iRAP 3 or above rated roads","Measure: Percentage (See Notes 3, 4 &amp; 6)")))))))))))</f>
        <v>Measure: Number (See Notes 1, 2 &amp; 3)</v>
      </c>
    </row>
    <row r="28" spans="1:1">
      <c r="A28" s="56" t="str">
        <f>IF(B41="The accident frequency rate for National Highways supply chain staff", "Financial year", IF(B41="The % of traffic using iRAP 3 or above rated roads","Financial year", IF(B41="The accident frequency rate for National Highways staff","Financial year ","Calendar year ")))</f>
        <v xml:space="preserve">Calendar year </v>
      </c>
    </row>
    <row r="29" spans="1:1">
      <c r="A29" s="56" t="str">
        <f>IFERROR(IF(B41="The % of traffic using iRAP 3 or above rated roads",I68,IF(B41="The number of injury collisions",R68,IF(B41="The accident frequency rate for National Highways staff",T68,M68))),"")</f>
        <v>Fewest casualties (2022)</v>
      </c>
    </row>
    <row r="30" spans="1:1">
      <c r="A30" s="56" t="str">
        <f>IFERROR(IF(B41="The % of traffic using iRAP 3 or above rated roads",I69,IF(B41="The number of injury collisions",R69,IF(B41="The accident frequency rate for National Highways staff",T69,M69))),"")</f>
        <v>Most casualties (2022)</v>
      </c>
    </row>
    <row r="40" spans="1:8">
      <c r="B40" t="s">
        <v>146</v>
      </c>
      <c r="C40" t="s">
        <v>147</v>
      </c>
      <c r="D40" t="s">
        <v>148</v>
      </c>
      <c r="E40" t="s">
        <v>149</v>
      </c>
      <c r="F40" t="s">
        <v>150</v>
      </c>
      <c r="G40" t="s">
        <v>151</v>
      </c>
      <c r="H40" t="s">
        <v>152</v>
      </c>
    </row>
    <row r="41" spans="1:8">
      <c r="A41" s="44" t="s">
        <v>153</v>
      </c>
      <c r="B41" t="s">
        <v>154</v>
      </c>
    </row>
    <row r="43" spans="1:8">
      <c r="A43" s="44" t="s">
        <v>129</v>
      </c>
      <c r="B43" t="s">
        <v>131</v>
      </c>
      <c r="C43" t="s">
        <v>132</v>
      </c>
      <c r="D43" t="s">
        <v>133</v>
      </c>
      <c r="E43" t="s">
        <v>134</v>
      </c>
      <c r="F43" t="s">
        <v>135</v>
      </c>
      <c r="G43" t="s">
        <v>136</v>
      </c>
      <c r="H43" t="s">
        <v>130</v>
      </c>
    </row>
    <row r="44" spans="1:8">
      <c r="A44" s="45" t="s">
        <v>137</v>
      </c>
      <c r="B44" s="79">
        <v>0</v>
      </c>
      <c r="C44" s="79">
        <v>0</v>
      </c>
      <c r="D44" s="79">
        <v>0</v>
      </c>
      <c r="E44" s="79">
        <v>0</v>
      </c>
      <c r="F44" s="79">
        <v>0</v>
      </c>
      <c r="G44" s="79">
        <v>0</v>
      </c>
      <c r="H44" s="79">
        <v>2338</v>
      </c>
    </row>
    <row r="45" spans="1:8">
      <c r="A45" s="45" t="s">
        <v>138</v>
      </c>
      <c r="B45" s="79">
        <v>0</v>
      </c>
      <c r="C45" s="79">
        <v>0</v>
      </c>
      <c r="D45" s="79">
        <v>0</v>
      </c>
      <c r="E45" s="79">
        <v>0</v>
      </c>
      <c r="F45" s="79">
        <v>0</v>
      </c>
      <c r="G45" s="79">
        <v>0</v>
      </c>
      <c r="H45" s="79">
        <v>2281</v>
      </c>
    </row>
    <row r="46" spans="1:8">
      <c r="A46" s="45" t="s">
        <v>139</v>
      </c>
      <c r="B46" s="79">
        <v>0</v>
      </c>
      <c r="C46" s="79">
        <v>0</v>
      </c>
      <c r="D46" s="79">
        <v>0</v>
      </c>
      <c r="E46" s="79">
        <v>0</v>
      </c>
      <c r="F46" s="79">
        <v>0</v>
      </c>
      <c r="G46" s="79">
        <v>0</v>
      </c>
      <c r="H46" s="79">
        <v>2091</v>
      </c>
    </row>
    <row r="47" spans="1:8">
      <c r="A47" s="45" t="s">
        <v>140</v>
      </c>
      <c r="B47" s="79">
        <v>0</v>
      </c>
      <c r="C47" s="79">
        <v>0</v>
      </c>
      <c r="D47" s="79">
        <v>0</v>
      </c>
      <c r="E47" s="79">
        <v>0</v>
      </c>
      <c r="F47" s="79">
        <v>0</v>
      </c>
      <c r="G47" s="79">
        <v>0</v>
      </c>
      <c r="H47" s="79">
        <v>1297</v>
      </c>
    </row>
    <row r="48" spans="1:8">
      <c r="A48" s="45" t="s">
        <v>141</v>
      </c>
      <c r="B48" s="79">
        <v>0</v>
      </c>
      <c r="C48" s="79">
        <v>0</v>
      </c>
      <c r="D48" s="79">
        <v>0</v>
      </c>
      <c r="E48" s="79">
        <v>0</v>
      </c>
      <c r="F48" s="79">
        <v>0</v>
      </c>
      <c r="G48" s="79">
        <v>0</v>
      </c>
      <c r="H48" s="79">
        <v>2086</v>
      </c>
    </row>
    <row r="49" spans="1:11">
      <c r="A49" s="45" t="s">
        <v>142</v>
      </c>
      <c r="B49" s="79">
        <v>0</v>
      </c>
      <c r="C49" s="79">
        <v>0</v>
      </c>
      <c r="D49" s="79">
        <v>0</v>
      </c>
      <c r="E49" s="79">
        <v>0</v>
      </c>
      <c r="F49" s="79">
        <v>0</v>
      </c>
      <c r="G49" s="79">
        <v>0</v>
      </c>
      <c r="H49" s="79">
        <v>1415</v>
      </c>
    </row>
    <row r="50" spans="1:11">
      <c r="A50" s="45" t="s">
        <v>143</v>
      </c>
      <c r="B50" s="79">
        <v>0</v>
      </c>
      <c r="C50" s="79">
        <v>0</v>
      </c>
      <c r="D50" s="79">
        <v>0</v>
      </c>
      <c r="E50" s="79">
        <v>0</v>
      </c>
      <c r="F50" s="79">
        <v>0</v>
      </c>
      <c r="G50" s="79">
        <v>0</v>
      </c>
      <c r="H50" s="79">
        <v>1832</v>
      </c>
    </row>
    <row r="51" spans="1:11">
      <c r="A51" s="45" t="s">
        <v>144</v>
      </c>
      <c r="B51" s="79">
        <v>0</v>
      </c>
      <c r="C51" s="79">
        <v>0</v>
      </c>
      <c r="D51" s="79">
        <v>0</v>
      </c>
      <c r="E51" s="79">
        <v>0</v>
      </c>
      <c r="F51" s="79">
        <v>0</v>
      </c>
      <c r="G51" s="79">
        <v>0</v>
      </c>
      <c r="H51" s="79">
        <v>1939</v>
      </c>
    </row>
    <row r="59" spans="1:11" ht="15" thickBot="1">
      <c r="A59" s="57" t="str">
        <f>INDEX(A44:A58,MATCH("*",A44:A58,-1))</f>
        <v>2022</v>
      </c>
      <c r="B59" s="78">
        <f>VLOOKUP(A59,$A$44:$H$58,2)</f>
        <v>0</v>
      </c>
      <c r="C59" s="78">
        <f>VLOOKUP(A59,$A$44:$H$58,3)</f>
        <v>0</v>
      </c>
      <c r="D59" s="78">
        <f>VLOOKUP(A59,$A$44:$H$58,4)</f>
        <v>0</v>
      </c>
      <c r="E59" s="78">
        <f>VLOOKUP(A59,$A$44:$H$58,5)</f>
        <v>0</v>
      </c>
      <c r="F59" s="78">
        <f>VLOOKUP(A59,$A$44:$H$58,6)</f>
        <v>0</v>
      </c>
      <c r="G59" s="78">
        <f>VLOOKUP(A59,$A$44:$H$58,7)</f>
        <v>0</v>
      </c>
      <c r="H59" s="58">
        <f>VLOOKUP(A59,$A$44:$H$58,8)</f>
        <v>1939</v>
      </c>
      <c r="I59" s="59" t="s">
        <v>155</v>
      </c>
    </row>
    <row r="61" spans="1:11">
      <c r="E61" t="s">
        <v>156</v>
      </c>
    </row>
    <row r="62" spans="1:11">
      <c r="A62" t="s">
        <v>157</v>
      </c>
      <c r="B62" s="79" t="str">
        <f>IFERROR(IF(MAX(B59:G59)=0,"",MAX(B59:G59)),"")</f>
        <v/>
      </c>
      <c r="E62" s="60" t="e">
        <f>(B62/$H$59)</f>
        <v>#VALUE!</v>
      </c>
      <c r="F62" t="e">
        <f>IF(E62&gt;=0,"accounts for","")</f>
        <v>#VALUE!</v>
      </c>
      <c r="H62" t="s">
        <v>158</v>
      </c>
      <c r="I62" s="60" t="e">
        <f>ABS(E62)</f>
        <v>#VALUE!</v>
      </c>
      <c r="K62" t="e">
        <f>TEXT(I62,"0.00")&amp;" "&amp;A26</f>
        <v>#VALUE!</v>
      </c>
    </row>
    <row r="63" spans="1:11">
      <c r="A63" t="s">
        <v>159</v>
      </c>
      <c r="B63" s="79" t="str">
        <f>IFERROR(IF(B62="","",MIN(B59:G59)),"")</f>
        <v/>
      </c>
      <c r="E63" s="60" t="e">
        <f>(B63/$H$59)</f>
        <v>#VALUE!</v>
      </c>
      <c r="F63" t="e">
        <f>IF(E63&gt;=0,"accounts for","")</f>
        <v>#VALUE!</v>
      </c>
      <c r="H63" s="61" t="s">
        <v>158</v>
      </c>
      <c r="I63" s="60" t="e">
        <f>ABS(E63)</f>
        <v>#VALUE!</v>
      </c>
      <c r="K63" t="e">
        <f>TEXT(I63,"0.0")&amp;" "&amp;A26</f>
        <v>#VALUE!</v>
      </c>
    </row>
    <row r="64" spans="1:11">
      <c r="C64" s="79"/>
      <c r="E64" t="s">
        <v>160</v>
      </c>
    </row>
    <row r="65" spans="1:21">
      <c r="A65" t="s">
        <v>157</v>
      </c>
      <c r="B65" t="str">
        <f>IFERROR(INDEX(B40:H40,MATCH(B62,B59:H59,0)),"")</f>
        <v/>
      </c>
      <c r="E65" s="93" t="e">
        <f>B62-$H$59</f>
        <v>#VALUE!</v>
      </c>
      <c r="F65" t="e">
        <f>IF(E65&gt;0," were higher by "," were lower by ")</f>
        <v>#VALUE!</v>
      </c>
      <c r="H65" t="s">
        <v>158</v>
      </c>
      <c r="I65" s="94" t="e">
        <f>ABS(E65)</f>
        <v>#VALUE!</v>
      </c>
    </row>
    <row r="66" spans="1:21">
      <c r="A66" t="s">
        <v>159</v>
      </c>
      <c r="B66" t="str">
        <f>IFERROR(INDEX(B40:H40,MATCH(B63,B59:H59,0)),"")</f>
        <v/>
      </c>
      <c r="E66" s="93" t="e">
        <f>B63-$H$59</f>
        <v>#VALUE!</v>
      </c>
      <c r="F66" t="e">
        <f>IF(E66&gt;0," were higher by "," were lower by ")</f>
        <v>#VALUE!</v>
      </c>
      <c r="H66" s="61" t="s">
        <v>158</v>
      </c>
      <c r="I66" s="94" t="e">
        <f>ABS(E66)</f>
        <v>#VALUE!</v>
      </c>
    </row>
    <row r="68" spans="1:21">
      <c r="A68" t="s">
        <v>161</v>
      </c>
      <c r="B68" t="str">
        <f>B66</f>
        <v/>
      </c>
      <c r="E68" t="s">
        <v>162</v>
      </c>
      <c r="F68" t="str">
        <f>B68</f>
        <v/>
      </c>
      <c r="I68" t="str">
        <f>A68&amp;" ("&amp;A59&amp;")"</f>
        <v>Best performing (2022)</v>
      </c>
      <c r="M68" t="str">
        <f>E68&amp;" ("&amp;A59&amp;")"</f>
        <v>Fewest casualties (2022)</v>
      </c>
      <c r="Q68" t="s">
        <v>163</v>
      </c>
      <c r="R68" t="str">
        <f>Q68&amp;" ("&amp;A59&amp;")"</f>
        <v>Fewest collisions  (2022)</v>
      </c>
      <c r="T68" t="str">
        <f>U68&amp;" ("&amp;$A$59&amp;")"</f>
        <v>Fewest incidents (2022)</v>
      </c>
      <c r="U68" t="s">
        <v>164</v>
      </c>
    </row>
    <row r="69" spans="1:21">
      <c r="A69" t="s">
        <v>165</v>
      </c>
      <c r="B69" t="str">
        <f>B65</f>
        <v/>
      </c>
      <c r="E69" t="s">
        <v>166</v>
      </c>
      <c r="F69" t="str">
        <f>B69</f>
        <v/>
      </c>
      <c r="I69" t="str">
        <f>A69&amp;" ("&amp;A59&amp;")"</f>
        <v>Worst performing (2022)</v>
      </c>
      <c r="M69" t="str">
        <f>E69&amp;" ("&amp;A59&amp;")"</f>
        <v>Most casualties (2022)</v>
      </c>
      <c r="Q69" t="s">
        <v>167</v>
      </c>
      <c r="R69" t="str">
        <f>Q69&amp;" ("&amp;A59&amp;")"</f>
        <v>Most collisions (2022)</v>
      </c>
      <c r="T69" t="str">
        <f>U69 &amp;" ("&amp;$A$59&amp;")"</f>
        <v>Most incidents (2022)</v>
      </c>
      <c r="U69" t="s">
        <v>168</v>
      </c>
    </row>
    <row r="71" spans="1:21">
      <c r="A71" t="str">
        <f>IFERROR(IF(B41="The accident frequency rate for National Highways supply chain staff",A75,IF(B41="The accident frequency rate for National Highways staff",A75,IF(B41="The number of injury collisions",A76,IF(B41="The number of non-motorised and motorcyclist users killed or injured", A74,IF(B41="Total number of people killed or injured",A74,A72))))),"")</f>
        <v>Note: data only available at a national level</v>
      </c>
    </row>
    <row r="72" spans="1:21">
      <c r="A72" s="81" t="str">
        <f>IFERROR("Compared to National Highways total across all regions,"&amp;" the "&amp;B68&amp;" "&amp;F62&amp;" "&amp;TEXT(K63,"0%"&amp;" ")&amp;"while the "&amp;""&amp;B69&amp;""&amp;" "&amp;F63&amp;" "&amp;TEXT(K62,"0%")&amp;" .","Note: data only available at a national level")</f>
        <v>Note: data only available at a national level</v>
      </c>
    </row>
    <row r="73" spans="1:21">
      <c r="A73" s="82" t="str">
        <f>IFERROR(IF(B63&gt;0,"Compared to the national levels, accident rates in the "&amp;B68&amp;F66&amp;I66&amp;" while rates in the "&amp;B69&amp;F65&amp;I65,"Compared to national levels, accident rates in the "&amp;B69&amp;F65&amp;I65&amp;" while no accidents were recorded in the "&amp;B68&amp;" region."),"")</f>
        <v/>
      </c>
    </row>
    <row r="74" spans="1:21">
      <c r="A74" t="str">
        <f>IFERROR("The "&amp;B68&amp;" "&amp;F62&amp;" "&amp;TEXT(K63,"0%"&amp;" ")&amp;"of casualties on the SRN, while the "&amp;""&amp;B69&amp;""&amp;" "&amp;F63&amp;" "&amp;TEXT(K62,"0%")&amp;" .","Note: data only available at a national level")</f>
        <v>Note: data only available at a national level</v>
      </c>
      <c r="M74" t="s">
        <v>169</v>
      </c>
    </row>
    <row r="75" spans="1:21">
      <c r="A75">
        <f>IFERROR("Compared to the national level, the rate of RIDDORS in the "&amp;B68&amp;" "&amp;"is "&amp;K62&amp;" times greater, whilst in the "&amp;B69&amp;" "&amp;" the rate is "&amp;K63&amp;"times lower.",)</f>
        <v>0</v>
      </c>
    </row>
    <row r="76" spans="1:21">
      <c r="A76" t="str">
        <f>IFERROR("The "&amp;B68&amp;" "&amp;F62&amp;" "&amp;TEXT(K63,"0%"&amp;" ")&amp;"of collisions on the SRN, while the "&amp;""&amp;B69&amp;""&amp;" "&amp;F63&amp;" "&amp;TEXT(K62,"0%")&amp;" .","Note: data only available at a national level")</f>
        <v>Note: data only available at a national level</v>
      </c>
    </row>
    <row r="78" spans="1:21">
      <c r="A78" s="108" t="str">
        <f>IF(B41="The number of people killed or seriously injured (KSI)","See notes: 1, 2 and 3.",IF(B41="Total number of people killed or injured","See notes: 1 and 3",IF(B41="The % of traffic using iRAP 3 or above rated roads",C78&amp;A79,"")))</f>
        <v>See notes: 1, 2 and 3.</v>
      </c>
      <c r="C78" t="s">
        <v>170</v>
      </c>
    </row>
    <row r="79" spans="1:21" ht="30.95">
      <c r="A79" s="3" t="s">
        <v>171</v>
      </c>
      <c r="B79" s="1" t="s">
        <v>172</v>
      </c>
      <c r="U79" s="36" t="s">
        <v>173</v>
      </c>
    </row>
    <row r="80" spans="1:21" ht="170.45">
      <c r="A80" s="3" t="s">
        <v>42</v>
      </c>
      <c r="B80" s="16" t="s">
        <v>174</v>
      </c>
    </row>
    <row r="81" spans="1:2" ht="62.1">
      <c r="A81" s="3" t="s">
        <v>44</v>
      </c>
      <c r="B81" s="1" t="s">
        <v>175</v>
      </c>
    </row>
    <row r="82" spans="1:2" ht="62.1">
      <c r="A82" s="3" t="s">
        <v>46</v>
      </c>
      <c r="B82" s="1" t="s">
        <v>47</v>
      </c>
    </row>
    <row r="83" spans="1:2" ht="108.6">
      <c r="A83" s="3" t="s">
        <v>48</v>
      </c>
      <c r="B83" s="16" t="s">
        <v>49</v>
      </c>
    </row>
    <row r="84" spans="1:2" ht="15.6">
      <c r="A84" s="3" t="s">
        <v>50</v>
      </c>
      <c r="B84" s="1" t="s">
        <v>176</v>
      </c>
    </row>
    <row r="85" spans="1:2" ht="108.6">
      <c r="A85" s="3" t="s">
        <v>177</v>
      </c>
      <c r="B85" s="16" t="s">
        <v>51</v>
      </c>
    </row>
  </sheetData>
  <phoneticPr fontId="168" type="noConversion"/>
  <conditionalFormatting pivot="1" sqref="B6:B13">
    <cfRule type="expression" dxfId="4" priority="1">
      <formula>$B$41="The number of injury collisions"</formula>
    </cfRule>
  </conditionalFormatting>
  <pageMargins left="0.7" right="0.7" top="0.75" bottom="0.75" header="0.3" footer="0.3"/>
  <pageSetup paperSize="9" orientation="portrait" r:id="rId9"/>
  <drawing r:id="rId10"/>
  <extLst>
    <ext xmlns:x14="http://schemas.microsoft.com/office/spreadsheetml/2009/9/main" uri="{A8765BA9-456A-4dab-B4F3-ACF838C121DE}">
      <x14:slicerList>
        <x14:slicer r:id="rId11"/>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73B3B-5C8E-4233-B150-955CF6A09E44}">
  <sheetPr codeName="Sheet15">
    <tabColor rgb="FFFFC000"/>
  </sheetPr>
  <dimension ref="A2:K74"/>
  <sheetViews>
    <sheetView workbookViewId="0">
      <selection activeCell="B1" sqref="B1"/>
    </sheetView>
  </sheetViews>
  <sheetFormatPr defaultRowHeight="14.45"/>
  <cols>
    <col min="2" max="2" width="42.85546875" bestFit="1" customWidth="1"/>
    <col min="4" max="4" width="59.5703125" bestFit="1" customWidth="1"/>
    <col min="5" max="5" width="21.85546875" customWidth="1"/>
    <col min="6" max="6" width="28.5703125" customWidth="1"/>
    <col min="7" max="7" width="18.5703125" customWidth="1"/>
    <col min="8" max="8" width="13.5703125" bestFit="1" customWidth="1"/>
    <col min="9" max="9" width="12.42578125" customWidth="1"/>
    <col min="10" max="11" width="11" bestFit="1" customWidth="1"/>
  </cols>
  <sheetData>
    <row r="2" spans="1:11" s="77" customFormat="1" ht="26.45" thickBot="1">
      <c r="A2" s="77" t="s">
        <v>178</v>
      </c>
      <c r="B2" s="77" t="s">
        <v>179</v>
      </c>
      <c r="C2" s="72" t="s">
        <v>129</v>
      </c>
      <c r="D2" s="73" t="s">
        <v>153</v>
      </c>
      <c r="E2" s="74" t="s">
        <v>152</v>
      </c>
      <c r="F2" s="75" t="s">
        <v>146</v>
      </c>
      <c r="G2" s="75" t="s">
        <v>180</v>
      </c>
      <c r="H2" s="75" t="s">
        <v>181</v>
      </c>
      <c r="I2" s="75" t="s">
        <v>182</v>
      </c>
      <c r="J2" s="75" t="s">
        <v>183</v>
      </c>
      <c r="K2" s="76" t="s">
        <v>184</v>
      </c>
    </row>
    <row r="3" spans="1:11">
      <c r="A3" s="41" t="str">
        <f>LEFT(Table_1a!$A$1,8)</f>
        <v>Table 1a</v>
      </c>
      <c r="B3" s="42" t="str">
        <f>Table_1a!A7</f>
        <v>January 2015 to December 2015</v>
      </c>
      <c r="C3" s="63" t="str">
        <f>IF(ISNUMBER(SEARCH("2015",B3)),"2015",IF(ISNUMBER(SEARCH("2016",B3)),"2016",IF(ISNUMBER(SEARCH("2017",B3)),"2017",IF(ISNUMBER(SEARCH("2018",B3)),"2018",IF(ISNUMBER(SEARCH("2019",B3)),"2019",IF(ISNUMBER(SEARCH("2020",B3)),"2020",IF(ISNUMBER(SEARCH("2021",B3)),"2021",IF(ISNUMBER(SEARCH("2022",B3)),"2022",IF(ISNUMBER(SEARCH("2023",B3)),"2023",IF(ISNUMBER(SEARCH("2024",B3)),"2024",IF(ISNUMBER(SEARCH("2025",B3)),"2025","")))))))))))</f>
        <v>2015</v>
      </c>
      <c r="D3" s="63" t="s">
        <v>154</v>
      </c>
      <c r="E3" s="64">
        <f>IFERROR(VLOOKUP($B3,Table_1a!$A$6:$I$100,COLUMN(E$1)-3,FALSE),"")</f>
        <v>2338</v>
      </c>
      <c r="F3" s="64">
        <f>IFERROR(VLOOKUP($B3,Table_1a!$A$6:$I$100,COLUMN(F$1)-3,FALSE),"")</f>
        <v>0</v>
      </c>
      <c r="G3" s="64">
        <f>IFERROR(VLOOKUP($B3,Table_1a!$A$6:$I$100,COLUMN(G$1)-3,FALSE),"")</f>
        <v>0</v>
      </c>
      <c r="H3" s="64">
        <f>IFERROR(VLOOKUP($B3,Table_1a!$A$6:$I$100,COLUMN(H$1)-3,FALSE),"")</f>
        <v>0</v>
      </c>
      <c r="I3" s="64">
        <f>IFERROR(VLOOKUP($B3,Table_1a!$A$6:$I$100,COLUMN(I$1)-3,FALSE),"")</f>
        <v>0</v>
      </c>
      <c r="J3" s="64">
        <f>IFERROR(VLOOKUP($B3,Table_1a!$A$6:$I$100,COLUMN(J$1)-3,FALSE),"")</f>
        <v>0</v>
      </c>
      <c r="K3" s="65">
        <f>IFERROR(VLOOKUP($B3,Table_1a!$A$6:$I$100,COLUMN(K$1)-3,FALSE),"")</f>
        <v>0</v>
      </c>
    </row>
    <row r="4" spans="1:11">
      <c r="A4" s="43" t="str">
        <f>LEFT(Table_1a!$A$1,8)</f>
        <v>Table 1a</v>
      </c>
      <c r="B4" t="str">
        <f>Table_1a!A8</f>
        <v>January 2016 to December 2016</v>
      </c>
      <c r="C4" s="62" t="str">
        <f t="shared" ref="C4:C48" si="0">IF(ISNUMBER(SEARCH("2015",B4)),"2015",IF(ISNUMBER(SEARCH("2016",B4)),"2016",IF(ISNUMBER(SEARCH("2017",B4)),"2017",IF(ISNUMBER(SEARCH("2018",B4)),"2018",IF(ISNUMBER(SEARCH("2019",B4)),"2019",IF(ISNUMBER(SEARCH("2020",B4)),"2020",IF(ISNUMBER(SEARCH("2021",B4)),"2021",IF(ISNUMBER(SEARCH("2022",B4)),"2022",IF(ISNUMBER(SEARCH("2023",B4)),"2023",IF(ISNUMBER(SEARCH("2024",B4)),"2024",IF(ISNUMBER(SEARCH("2025",B4)),"2025","")))))))))))</f>
        <v>2016</v>
      </c>
      <c r="D4" s="62" t="s">
        <v>154</v>
      </c>
      <c r="E4" s="66">
        <f>IFERROR(VLOOKUP($B4,Table_1a!$A$6:$I$100,COLUMN(E$1)-3,FALSE),"")</f>
        <v>2281</v>
      </c>
      <c r="F4" s="66">
        <f>IFERROR(VLOOKUP($B4,Table_1a!$A$6:$I$100,COLUMN(F$1)-3,FALSE),"")</f>
        <v>0</v>
      </c>
      <c r="G4" s="66">
        <f>IFERROR(VLOOKUP($B4,Table_1a!$A$6:$I$100,COLUMN(G$1)-3,FALSE),"")</f>
        <v>0</v>
      </c>
      <c r="H4" s="66">
        <f>IFERROR(VLOOKUP($B4,Table_1a!$A$6:$I$100,COLUMN(H$1)-3,FALSE),"")</f>
        <v>0</v>
      </c>
      <c r="I4" s="66">
        <f>IFERROR(VLOOKUP($B4,Table_1a!$A$6:$I$100,COLUMN(I$1)-3,FALSE),"")</f>
        <v>0</v>
      </c>
      <c r="J4" s="66">
        <f>IFERROR(VLOOKUP($B4,Table_1a!$A$6:$I$100,COLUMN(J$1)-3,FALSE),"")</f>
        <v>0</v>
      </c>
      <c r="K4" s="67">
        <f>IFERROR(VLOOKUP($B4,Table_1a!$A$6:$I$100,COLUMN(K$1)-3,FALSE),"")</f>
        <v>0</v>
      </c>
    </row>
    <row r="5" spans="1:11">
      <c r="A5" s="43" t="str">
        <f>LEFT(Table_1a!$A$1,8)</f>
        <v>Table 1a</v>
      </c>
      <c r="B5" t="str">
        <f>Table_1a!A9</f>
        <v>January 2017 to December 2017</v>
      </c>
      <c r="C5" s="62" t="str">
        <f t="shared" si="0"/>
        <v>2017</v>
      </c>
      <c r="D5" s="62" t="s">
        <v>154</v>
      </c>
      <c r="E5" s="66">
        <f>IFERROR(VLOOKUP($B5,Table_1a!$A$6:$I$100,COLUMN(E$1)-3,FALSE),"")</f>
        <v>2091</v>
      </c>
      <c r="F5" s="66">
        <f>IFERROR(VLOOKUP($B5,Table_1a!$A$6:$I$100,COLUMN(F$1)-3,FALSE),"")</f>
        <v>0</v>
      </c>
      <c r="G5" s="66">
        <f>IFERROR(VLOOKUP($B5,Table_1a!$A$6:$I$100,COLUMN(G$1)-3,FALSE),"")</f>
        <v>0</v>
      </c>
      <c r="H5" s="66">
        <f>IFERROR(VLOOKUP($B5,Table_1a!$A$6:$I$100,COLUMN(H$1)-3,FALSE),"")</f>
        <v>0</v>
      </c>
      <c r="I5" s="66">
        <f>IFERROR(VLOOKUP($B5,Table_1a!$A$6:$I$100,COLUMN(I$1)-3,FALSE),"")</f>
        <v>0</v>
      </c>
      <c r="J5" s="66">
        <f>IFERROR(VLOOKUP($B5,Table_1a!$A$6:$I$100,COLUMN(J$1)-3,FALSE),"")</f>
        <v>0</v>
      </c>
      <c r="K5" s="67">
        <f>IFERROR(VLOOKUP($B5,Table_1a!$A$6:$I$100,COLUMN(K$1)-3,FALSE),"")</f>
        <v>0</v>
      </c>
    </row>
    <row r="6" spans="1:11">
      <c r="A6" s="43" t="str">
        <f>LEFT(Table_1a!$A$1,8)</f>
        <v>Table 1a</v>
      </c>
      <c r="B6" t="str">
        <f>Table_1a!A10</f>
        <v>January 2018 to December 2018</v>
      </c>
      <c r="C6" s="62" t="str">
        <f t="shared" si="0"/>
        <v>2018</v>
      </c>
      <c r="D6" s="62" t="s">
        <v>154</v>
      </c>
      <c r="E6" s="66">
        <f>IFERROR(VLOOKUP($B6,Table_1a!$A$6:$I$100,COLUMN(E$1)-3,FALSE),"")</f>
        <v>1297</v>
      </c>
      <c r="F6" s="66">
        <f>IFERROR(VLOOKUP($B6,Table_1a!$A$6:$I$100,COLUMN(F$1)-3,FALSE),"")</f>
        <v>0</v>
      </c>
      <c r="G6" s="66">
        <f>IFERROR(VLOOKUP($B6,Table_1a!$A$6:$I$100,COLUMN(G$1)-3,FALSE),"")</f>
        <v>0</v>
      </c>
      <c r="H6" s="66">
        <f>IFERROR(VLOOKUP($B6,Table_1a!$A$6:$I$100,COLUMN(H$1)-3,FALSE),"")</f>
        <v>0</v>
      </c>
      <c r="I6" s="66">
        <f>IFERROR(VLOOKUP($B6,Table_1a!$A$6:$I$100,COLUMN(I$1)-3,FALSE),"")</f>
        <v>0</v>
      </c>
      <c r="J6" s="66">
        <f>IFERROR(VLOOKUP($B6,Table_1a!$A$6:$I$100,COLUMN(J$1)-3,FALSE),"")</f>
        <v>0</v>
      </c>
      <c r="K6" s="67">
        <f>IFERROR(VLOOKUP($B6,Table_1a!$A$6:$I$100,COLUMN(K$1)-3,FALSE),"")</f>
        <v>0</v>
      </c>
    </row>
    <row r="7" spans="1:11">
      <c r="A7" s="43" t="str">
        <f>LEFT(Table_1a!$A$1,8)</f>
        <v>Table 1a</v>
      </c>
      <c r="B7" t="str">
        <f>Table_1a!A11</f>
        <v>January 2019 to December 2019</v>
      </c>
      <c r="C7" s="62" t="str">
        <f t="shared" si="0"/>
        <v>2019</v>
      </c>
      <c r="D7" s="62" t="s">
        <v>154</v>
      </c>
      <c r="E7" s="66">
        <f>IFERROR(VLOOKUP($B7,Table_1a!$A$6:$I$100,COLUMN(E$1)-3,FALSE),"")</f>
        <v>2086</v>
      </c>
      <c r="F7" s="66">
        <f>IFERROR(VLOOKUP($B7,Table_1a!$A$6:$I$100,COLUMN(F$1)-3,FALSE),"")</f>
        <v>0</v>
      </c>
      <c r="G7" s="66">
        <f>IFERROR(VLOOKUP($B7,Table_1a!$A$6:$I$100,COLUMN(G$1)-3,FALSE),"")</f>
        <v>0</v>
      </c>
      <c r="H7" s="66">
        <f>IFERROR(VLOOKUP($B7,Table_1a!$A$6:$I$100,COLUMN(H$1)-3,FALSE),"")</f>
        <v>0</v>
      </c>
      <c r="I7" s="66">
        <f>IFERROR(VLOOKUP($B7,Table_1a!$A$6:$I$100,COLUMN(I$1)-3,FALSE),"")</f>
        <v>0</v>
      </c>
      <c r="J7" s="66">
        <f>IFERROR(VLOOKUP($B7,Table_1a!$A$6:$I$100,COLUMN(J$1)-3,FALSE),"")</f>
        <v>0</v>
      </c>
      <c r="K7" s="67">
        <f>IFERROR(VLOOKUP($B7,Table_1a!$A$6:$I$100,COLUMN(K$1)-3,FALSE),"")</f>
        <v>0</v>
      </c>
    </row>
    <row r="8" spans="1:11">
      <c r="A8" s="43" t="str">
        <f>LEFT(Table_1a!$A$1,8)</f>
        <v>Table 1a</v>
      </c>
      <c r="B8" t="str">
        <f>Table_1a!A12</f>
        <v>January 2020 to December 2020 [Note 1]</v>
      </c>
      <c r="C8" s="62" t="str">
        <f t="shared" si="0"/>
        <v>2020</v>
      </c>
      <c r="D8" s="62" t="s">
        <v>154</v>
      </c>
      <c r="E8" s="66">
        <f>IFERROR(VLOOKUP($B8,Table_1a!$A$6:$I$100,COLUMN(E$1)-3,FALSE),"")</f>
        <v>1415</v>
      </c>
      <c r="F8" s="66">
        <f>IFERROR(VLOOKUP($B8,Table_1a!$A$6:$I$100,COLUMN(F$1)-3,FALSE),"")</f>
        <v>0</v>
      </c>
      <c r="G8" s="66">
        <f>IFERROR(VLOOKUP($B8,Table_1a!$A$6:$I$100,COLUMN(G$1)-3,FALSE),"")</f>
        <v>0</v>
      </c>
      <c r="H8" s="66">
        <f>IFERROR(VLOOKUP($B8,Table_1a!$A$6:$I$100,COLUMN(H$1)-3,FALSE),"")</f>
        <v>0</v>
      </c>
      <c r="I8" s="66">
        <f>IFERROR(VLOOKUP($B8,Table_1a!$A$6:$I$100,COLUMN(I$1)-3,FALSE),"")</f>
        <v>0</v>
      </c>
      <c r="J8" s="66">
        <f>IFERROR(VLOOKUP($B8,Table_1a!$A$6:$I$100,COLUMN(J$1)-3,FALSE),"")</f>
        <v>0</v>
      </c>
      <c r="K8" s="67">
        <f>IFERROR(VLOOKUP($B8,Table_1a!$A$6:$I$100,COLUMN(K$1)-3,FALSE),"")</f>
        <v>0</v>
      </c>
    </row>
    <row r="9" spans="1:11">
      <c r="A9" s="43" t="str">
        <f>LEFT(Table_1a!$A$1,8)</f>
        <v>Table 1a</v>
      </c>
      <c r="B9" s="101" t="str">
        <f>Table_1a!A13</f>
        <v>January 2021 to December 2021 [Note 1]</v>
      </c>
      <c r="C9" s="62" t="str">
        <f t="shared" ref="C9" si="1">IF(ISNUMBER(SEARCH("2015",B9)),"2015",IF(ISNUMBER(SEARCH("2016",B9)),"2016",IF(ISNUMBER(SEARCH("2017",B9)),"2017",IF(ISNUMBER(SEARCH("2018",B9)),"2018",IF(ISNUMBER(SEARCH("2019",B9)),"2019",IF(ISNUMBER(SEARCH("2020",B9)),"2020",IF(ISNUMBER(SEARCH("2021",B9)),"2021",IF(ISNUMBER(SEARCH("2022",B9)),"2022",IF(ISNUMBER(SEARCH("2023",B9)),"2023",IF(ISNUMBER(SEARCH("2024",B9)),"2024",IF(ISNUMBER(SEARCH("2025",B9)),"2025","")))))))))))</f>
        <v>2021</v>
      </c>
      <c r="D9" s="62" t="s">
        <v>154</v>
      </c>
      <c r="E9" s="66">
        <f>IFERROR(VLOOKUP($B9,Table_1a!$A$6:$I$100,COLUMN(E$1)-3,FALSE),"")</f>
        <v>1832</v>
      </c>
      <c r="F9" s="66">
        <f>IFERROR(VLOOKUP($B9,Table_1a!$A$6:$I$100,COLUMN(F$1)-3,FALSE),"")</f>
        <v>0</v>
      </c>
      <c r="G9" s="66">
        <f>IFERROR(VLOOKUP($B9,Table_1a!$A$6:$I$100,COLUMN(G$1)-3,FALSE),"")</f>
        <v>0</v>
      </c>
      <c r="H9" s="66">
        <f>IFERROR(VLOOKUP($B9,Table_1a!$A$6:$I$100,COLUMN(H$1)-3,FALSE),"")</f>
        <v>0</v>
      </c>
      <c r="I9" s="66">
        <f>IFERROR(VLOOKUP($B9,Table_1a!$A$6:$I$100,COLUMN(I$1)-3,FALSE),"")</f>
        <v>0</v>
      </c>
      <c r="J9" s="66">
        <f>IFERROR(VLOOKUP($B9,Table_1a!$A$6:$I$100,COLUMN(J$1)-3,FALSE),"")</f>
        <v>0</v>
      </c>
      <c r="K9" s="67">
        <f>IFERROR(VLOOKUP($B9,Table_1a!$A$6:$I$100,COLUMN(K$1)-3,FALSE),"")</f>
        <v>0</v>
      </c>
    </row>
    <row r="10" spans="1:11" ht="15" thickBot="1">
      <c r="A10" s="43" t="str">
        <f>LEFT(Table_1a!$A$1,8)</f>
        <v>Table 1a</v>
      </c>
      <c r="B10" s="101" t="str">
        <f>Table_1a!A14</f>
        <v>January 2022 to December 2022 [Note 1]</v>
      </c>
      <c r="C10" s="114" t="str">
        <f>IF(ISNUMBER(SEARCH("2015",B10)),"2015",IF(ISNUMBER(SEARCH("2016",B10)),"2016",IF(ISNUMBER(SEARCH("2017",B10)),"2017",IF(ISNUMBER(SEARCH("2018",B10)),"2018",IF(ISNUMBER(SEARCH("2019",B10)),"2019",IF(ISNUMBER(SEARCH("2020",B10)),"2020",IF(ISNUMBER(SEARCH("2021",B10)),"2021",IF(ISNUMBER(SEARCH("2022",B10)),"2022",IF(ISNUMBER(SEARCH("2023",B10)),"2023",IF(ISNUMBER(SEARCH("2024",B10)),"2024",IF(ISNUMBER(SEARCH("2025",B10)),"2025","")))))))))))</f>
        <v>2022</v>
      </c>
      <c r="D10" s="62" t="s">
        <v>154</v>
      </c>
      <c r="E10" s="66">
        <f>IFERROR(VLOOKUP($B10,Table_1a!$A$6:$I$100,COLUMN(E$1)-3,FALSE),"")</f>
        <v>1939</v>
      </c>
      <c r="F10" s="66">
        <f>IFERROR(VLOOKUP($B10,Table_1a!$A$6:$I$100,COLUMN(F$1)-3,FALSE),"")</f>
        <v>0</v>
      </c>
      <c r="G10" s="66">
        <f>IFERROR(VLOOKUP($B10,Table_1a!$A$6:$I$100,COLUMN(G$1)-3,FALSE),"")</f>
        <v>0</v>
      </c>
      <c r="H10" s="66">
        <f>IFERROR(VLOOKUP($B10,Table_1a!$A$6:$I$100,COLUMN(H$1)-3,FALSE),"")</f>
        <v>0</v>
      </c>
      <c r="I10" s="66">
        <f>IFERROR(VLOOKUP($B10,Table_1a!$A$6:$I$100,COLUMN(I$1)-3,FALSE),"")</f>
        <v>0</v>
      </c>
      <c r="J10" s="66">
        <f>IFERROR(VLOOKUP($B10,Table_1a!$A$6:$I$100,COLUMN(J$1)-3,FALSE),"")</f>
        <v>0</v>
      </c>
      <c r="K10" s="67">
        <f>IFERROR(VLOOKUP($B10,Table_1a!$A$6:$I$100,COLUMN(K$1)-3,FALSE),"")</f>
        <v>0</v>
      </c>
    </row>
    <row r="11" spans="1:11">
      <c r="A11" s="41" t="str">
        <f>LEFT(Table_1b!$A$1,8)</f>
        <v>Table 1b</v>
      </c>
      <c r="B11" s="42" t="str">
        <f>Table_1b!A5</f>
        <v>January 2015 to December 2015</v>
      </c>
      <c r="C11" s="63" t="str">
        <f t="shared" si="0"/>
        <v>2015</v>
      </c>
      <c r="D11" s="63" t="s">
        <v>185</v>
      </c>
      <c r="E11" s="64">
        <f>IFERROR(VLOOKUP($B11,Table_1b!$A$4:$H$99,COLUMN(E$1)-3,FALSE),"")</f>
        <v>16375</v>
      </c>
      <c r="F11" s="64" t="str">
        <f>IFERROR(VLOOKUP($B11,Table_1b!$A$4:$H$99,COLUMN(F$1)-3,FALSE),"")</f>
        <v>[x]</v>
      </c>
      <c r="G11" s="64" t="str">
        <f>IFERROR(VLOOKUP($B11,Table_1b!$A$4:$H$99,COLUMN(G$1)-3,FALSE),"")</f>
        <v>[x]</v>
      </c>
      <c r="H11" s="64" t="str">
        <f>IFERROR(VLOOKUP($B11,Table_1b!$A$4:$H$99,COLUMN(H$1)-3,FALSE),"")</f>
        <v>[x]</v>
      </c>
      <c r="I11" s="64" t="str">
        <f>IFERROR(VLOOKUP($B11,Table_1b!$A$4:$H$99,COLUMN(I$1)-3,FALSE),"")</f>
        <v>[x]</v>
      </c>
      <c r="J11" s="64" t="str">
        <f>IFERROR(VLOOKUP($B11,Table_1b!$A$4:$H$99,COLUMN(J$1)-3,FALSE),"")</f>
        <v>[x]</v>
      </c>
      <c r="K11" s="65" t="str">
        <f>IFERROR(VLOOKUP($B11,Table_1b!$A$4:$H$99,COLUMN(K$1)-3,FALSE),"")</f>
        <v>[x]</v>
      </c>
    </row>
    <row r="12" spans="1:11">
      <c r="A12" s="43" t="str">
        <f>LEFT(Table_1b!$A$1,8)</f>
        <v>Table 1b</v>
      </c>
      <c r="B12" t="str">
        <f>Table_1b!A6</f>
        <v>January 2016 to December 2016</v>
      </c>
      <c r="C12" s="62" t="str">
        <f t="shared" si="0"/>
        <v>2016</v>
      </c>
      <c r="D12" s="62" t="s">
        <v>185</v>
      </c>
      <c r="E12" s="66">
        <f>IFERROR(VLOOKUP($B12,Table_1b!$A$4:$H$99,COLUMN(E$1)-3,FALSE),"")</f>
        <v>16233</v>
      </c>
      <c r="F12" s="66" t="str">
        <f>IFERROR(VLOOKUP($B12,Table_1b!$A$4:$H$99,COLUMN(F$1)-3,FALSE),"")</f>
        <v>[x]</v>
      </c>
      <c r="G12" s="66" t="str">
        <f>IFERROR(VLOOKUP($B12,Table_1b!$A$4:$H$99,COLUMN(G$1)-3,FALSE),"")</f>
        <v>[x]</v>
      </c>
      <c r="H12" s="66" t="str">
        <f>IFERROR(VLOOKUP($B12,Table_1b!$A$4:$H$99,COLUMN(H$1)-3,FALSE),"")</f>
        <v>[x]</v>
      </c>
      <c r="I12" s="66" t="str">
        <f>IFERROR(VLOOKUP($B12,Table_1b!$A$4:$H$99,COLUMN(I$1)-3,FALSE),"")</f>
        <v>[x]</v>
      </c>
      <c r="J12" s="66" t="str">
        <f>IFERROR(VLOOKUP($B12,Table_1b!$A$4:$H$99,COLUMN(J$1)-3,FALSE),"")</f>
        <v>[x]</v>
      </c>
      <c r="K12" s="67" t="str">
        <f>IFERROR(VLOOKUP($B12,Table_1b!$A$4:$H$99,COLUMN(K$1)-3,FALSE),"")</f>
        <v>[x]</v>
      </c>
    </row>
    <row r="13" spans="1:11">
      <c r="A13" s="43" t="str">
        <f>LEFT(Table_1b!$A$1,8)</f>
        <v>Table 1b</v>
      </c>
      <c r="B13" t="str">
        <f>Table_1b!A7</f>
        <v>January 2017 to December 2017</v>
      </c>
      <c r="C13" s="62" t="str">
        <f t="shared" si="0"/>
        <v>2017</v>
      </c>
      <c r="D13" s="62" t="s">
        <v>185</v>
      </c>
      <c r="E13" s="66">
        <f>IFERROR(VLOOKUP($B13,Table_1b!$A$4:$H$99,COLUMN(E$1)-3,FALSE),"")</f>
        <v>14225</v>
      </c>
      <c r="F13" s="66" t="str">
        <f>IFERROR(VLOOKUP($B13,Table_1b!$A$4:$H$99,COLUMN(F$1)-3,FALSE),"")</f>
        <v>[x]</v>
      </c>
      <c r="G13" s="66" t="str">
        <f>IFERROR(VLOOKUP($B13,Table_1b!$A$4:$H$99,COLUMN(G$1)-3,FALSE),"")</f>
        <v>[x]</v>
      </c>
      <c r="H13" s="66" t="str">
        <f>IFERROR(VLOOKUP($B13,Table_1b!$A$4:$H$99,COLUMN(H$1)-3,FALSE),"")</f>
        <v>[x]</v>
      </c>
      <c r="I13" s="66" t="str">
        <f>IFERROR(VLOOKUP($B13,Table_1b!$A$4:$H$99,COLUMN(I$1)-3,FALSE),"")</f>
        <v>[x]</v>
      </c>
      <c r="J13" s="66" t="str">
        <f>IFERROR(VLOOKUP($B13,Table_1b!$A$4:$H$99,COLUMN(J$1)-3,FALSE),"")</f>
        <v>[x]</v>
      </c>
      <c r="K13" s="67" t="str">
        <f>IFERROR(VLOOKUP($B13,Table_1b!$A$4:$H$99,COLUMN(K$1)-3,FALSE),"")</f>
        <v>[x]</v>
      </c>
    </row>
    <row r="14" spans="1:11">
      <c r="A14" s="43" t="str">
        <f>LEFT(Table_1b!$A$1,8)</f>
        <v>Table 1b</v>
      </c>
      <c r="B14" t="str">
        <f>Table_1b!A8</f>
        <v>January 2018 to December 2018</v>
      </c>
      <c r="C14" s="62" t="str">
        <f t="shared" si="0"/>
        <v>2018</v>
      </c>
      <c r="D14" s="62" t="s">
        <v>185</v>
      </c>
      <c r="E14" s="66">
        <f>IFERROR(VLOOKUP($B14,Table_1b!$A$4:$H$99,COLUMN(E$1)-3,FALSE),"")</f>
        <v>13380</v>
      </c>
      <c r="F14" s="66" t="str">
        <f>IFERROR(VLOOKUP($B14,Table_1b!$A$4:$H$99,COLUMN(F$1)-3,FALSE),"")</f>
        <v>[x]</v>
      </c>
      <c r="G14" s="66" t="str">
        <f>IFERROR(VLOOKUP($B14,Table_1b!$A$4:$H$99,COLUMN(G$1)-3,FALSE),"")</f>
        <v>[x]</v>
      </c>
      <c r="H14" s="66" t="str">
        <f>IFERROR(VLOOKUP($B14,Table_1b!$A$4:$H$99,COLUMN(H$1)-3,FALSE),"")</f>
        <v>[x]</v>
      </c>
      <c r="I14" s="66" t="str">
        <f>IFERROR(VLOOKUP($B14,Table_1b!$A$4:$H$99,COLUMN(I$1)-3,FALSE),"")</f>
        <v>[x]</v>
      </c>
      <c r="J14" s="66" t="str">
        <f>IFERROR(VLOOKUP($B14,Table_1b!$A$4:$H$99,COLUMN(J$1)-3,FALSE),"")</f>
        <v>[x]</v>
      </c>
      <c r="K14" s="67" t="str">
        <f>IFERROR(VLOOKUP($B14,Table_1b!$A$4:$H$99,COLUMN(K$1)-3,FALSE),"")</f>
        <v>[x]</v>
      </c>
    </row>
    <row r="15" spans="1:11">
      <c r="A15" s="43" t="str">
        <f>LEFT(Table_1b!$A$1,8)</f>
        <v>Table 1b</v>
      </c>
      <c r="B15" t="str">
        <f>Table_1b!A9</f>
        <v>January 2019 to December 2019</v>
      </c>
      <c r="C15" s="62" t="str">
        <f t="shared" si="0"/>
        <v>2019</v>
      </c>
      <c r="D15" s="62" t="s">
        <v>185</v>
      </c>
      <c r="E15" s="66">
        <f>IFERROR(VLOOKUP($B15,Table_1b!$A$4:$H$99,COLUMN(E$1)-3,FALSE),"")</f>
        <v>12347</v>
      </c>
      <c r="F15" s="66">
        <f>IFERROR(VLOOKUP($B15,Table_1b!$A$4:$H$99,COLUMN(F$1)-3,FALSE),"")</f>
        <v>1647</v>
      </c>
      <c r="G15" s="66">
        <f>IFERROR(VLOOKUP($B15,Table_1b!$A$4:$H$99,COLUMN(G$1)-3,FALSE),"")</f>
        <v>1580</v>
      </c>
      <c r="H15" s="66">
        <f>IFERROR(VLOOKUP($B15,Table_1b!$A$4:$H$99,COLUMN(H$1)-3,FALSE),"")</f>
        <v>1915</v>
      </c>
      <c r="I15" s="66">
        <f>IFERROR(VLOOKUP($B15,Table_1b!$A$4:$H$99,COLUMN(I$1)-3,FALSE),"")</f>
        <v>2036</v>
      </c>
      <c r="J15" s="66">
        <f>IFERROR(VLOOKUP($B15,Table_1b!$A$4:$H$99,COLUMN(J$1)-3,FALSE),"")</f>
        <v>3919</v>
      </c>
      <c r="K15" s="67">
        <f>IFERROR(VLOOKUP($B15,Table_1b!$A$4:$H$99,COLUMN(K$1)-3,FALSE),"")</f>
        <v>1250</v>
      </c>
    </row>
    <row r="16" spans="1:11">
      <c r="A16" s="43" t="str">
        <f>LEFT(Table_1b!$A$1,8)</f>
        <v>Table 1b</v>
      </c>
      <c r="B16" t="str">
        <f>Table_1b!A10</f>
        <v>January 2020 to December 2020 [Note 1]</v>
      </c>
      <c r="C16" s="62" t="str">
        <f t="shared" si="0"/>
        <v>2020</v>
      </c>
      <c r="D16" s="62" t="s">
        <v>185</v>
      </c>
      <c r="E16" s="66">
        <f>IFERROR(VLOOKUP($B16,Table_1b!$A$4:$H$99,COLUMN(E$1)-3,FALSE),"")</f>
        <v>7873</v>
      </c>
      <c r="F16" s="66">
        <f>IFERROR(VLOOKUP($B16,Table_1b!$A$4:$H$99,COLUMN(F$1)-3,FALSE),"")</f>
        <v>965</v>
      </c>
      <c r="G16" s="66">
        <f>IFERROR(VLOOKUP($B16,Table_1b!$A$4:$H$99,COLUMN(G$1)-3,FALSE),"")</f>
        <v>944</v>
      </c>
      <c r="H16" s="66">
        <f>IFERROR(VLOOKUP($B16,Table_1b!$A$4:$H$99,COLUMN(H$1)-3,FALSE),"")</f>
        <v>1316</v>
      </c>
      <c r="I16" s="66">
        <f>IFERROR(VLOOKUP($B16,Table_1b!$A$4:$H$99,COLUMN(I$1)-3,FALSE),"")</f>
        <v>1284</v>
      </c>
      <c r="J16" s="66">
        <f>IFERROR(VLOOKUP($B16,Table_1b!$A$4:$H$99,COLUMN(J$1)-3,FALSE),"")</f>
        <v>2598</v>
      </c>
      <c r="K16" s="67">
        <f>IFERROR(VLOOKUP($B16,Table_1b!$A$4:$H$99,COLUMN(K$1)-3,FALSE),"")</f>
        <v>766</v>
      </c>
    </row>
    <row r="17" spans="1:11">
      <c r="A17" s="43" t="str">
        <f>LEFT(Table_1b!$A$1,8)</f>
        <v>Table 1b</v>
      </c>
      <c r="B17" t="str">
        <f>Table_1b!A11</f>
        <v>January 2021 to December 2021 [Note 1]</v>
      </c>
      <c r="C17" s="62" t="str">
        <f t="shared" ref="C17" si="2">IF(ISNUMBER(SEARCH("2015",B17)),"2015",IF(ISNUMBER(SEARCH("2016",B17)),"2016",IF(ISNUMBER(SEARCH("2017",B17)),"2017",IF(ISNUMBER(SEARCH("2018",B17)),"2018",IF(ISNUMBER(SEARCH("2019",B17)),"2019",IF(ISNUMBER(SEARCH("2020",B17)),"2020",IF(ISNUMBER(SEARCH("2021",B17)),"2021",IF(ISNUMBER(SEARCH("2022",B17)),"2022",IF(ISNUMBER(SEARCH("2023",B17)),"2023",IF(ISNUMBER(SEARCH("2024",B17)),"2024",IF(ISNUMBER(SEARCH("2025",B17)),"2025","")))))))))))</f>
        <v>2021</v>
      </c>
      <c r="D17" s="62" t="s">
        <v>185</v>
      </c>
      <c r="E17" s="66">
        <f>IFERROR(VLOOKUP($B17,Table_1b!$A$4:$H$99,COLUMN(E$1)-3,FALSE),"")</f>
        <v>9819</v>
      </c>
      <c r="F17" s="66">
        <f>IFERROR(VLOOKUP($B17,Table_1b!$A$4:$H$99,COLUMN(F$1)-3,FALSE),"")</f>
        <v>1322</v>
      </c>
      <c r="G17" s="66">
        <f>IFERROR(VLOOKUP($B17,Table_1b!$A$4:$H$99,COLUMN(G$1)-3,FALSE),"")</f>
        <v>1268</v>
      </c>
      <c r="H17" s="66">
        <f>IFERROR(VLOOKUP($B17,Table_1b!$A$4:$H$99,COLUMN(H$1)-3,FALSE),"")</f>
        <v>1743</v>
      </c>
      <c r="I17" s="66">
        <f>IFERROR(VLOOKUP($B17,Table_1b!$A$4:$H$99,COLUMN(I$1)-3,FALSE),"")</f>
        <v>1457</v>
      </c>
      <c r="J17" s="66">
        <f>IFERROR(VLOOKUP($B17,Table_1b!$A$4:$H$99,COLUMN(J$1)-3,FALSE),"")</f>
        <v>3016</v>
      </c>
      <c r="K17" s="67">
        <f>IFERROR(VLOOKUP($B17,Table_1b!$A$4:$H$99,COLUMN(K$1)-3,FALSE),"")</f>
        <v>1013</v>
      </c>
    </row>
    <row r="18" spans="1:11" ht="15" thickBot="1">
      <c r="A18" s="43" t="str">
        <f>LEFT(Table_1b!$A$1,8)</f>
        <v>Table 1b</v>
      </c>
      <c r="B18" t="str">
        <f>Table_1b!A12</f>
        <v>January 2022 to December 2022 [Note 1]</v>
      </c>
      <c r="C18" s="114" t="str">
        <f>IF(ISNUMBER(SEARCH("2015",B18)),"2015",IF(ISNUMBER(SEARCH("2016",B18)),"2016",IF(ISNUMBER(SEARCH("2017",B18)),"2017",IF(ISNUMBER(SEARCH("2018",B18)),"2018",IF(ISNUMBER(SEARCH("2019",B18)),"2019",IF(ISNUMBER(SEARCH("2020",B18)),"2020",IF(ISNUMBER(SEARCH("2021",B18)),"2021",IF(ISNUMBER(SEARCH("2022",B18)),"2022",IF(ISNUMBER(SEARCH("2023",B18)),"2023",IF(ISNUMBER(SEARCH("2024",B18)),"2024",IF(ISNUMBER(SEARCH("2025",B18)),"2025","")))))))))))</f>
        <v>2022</v>
      </c>
      <c r="D18" s="62" t="s">
        <v>185</v>
      </c>
      <c r="E18" s="66">
        <f>IFERROR(VLOOKUP($B18,Table_1b!$A$4:$H$99,COLUMN(E$1)-3,FALSE),"")</f>
        <v>10406</v>
      </c>
      <c r="F18" s="66">
        <f>IFERROR(VLOOKUP($B18,Table_1b!$A$4:$H$99,COLUMN(F$1)-3,FALSE),"")</f>
        <v>1462</v>
      </c>
      <c r="G18" s="66">
        <f>IFERROR(VLOOKUP($B18,Table_1b!$A$4:$H$99,COLUMN(G$1)-3,FALSE),"")</f>
        <v>1216</v>
      </c>
      <c r="H18" s="66">
        <f>IFERROR(VLOOKUP($B18,Table_1b!$A$4:$H$99,COLUMN(H$1)-3,FALSE),"")</f>
        <v>1710</v>
      </c>
      <c r="I18" s="66">
        <f>IFERROR(VLOOKUP($B18,Table_1b!$A$4:$H$99,COLUMN(I$1)-3,FALSE),"")</f>
        <v>1595</v>
      </c>
      <c r="J18" s="66">
        <f>IFERROR(VLOOKUP($B18,Table_1b!$A$4:$H$99,COLUMN(J$1)-3,FALSE),"")</f>
        <v>3399</v>
      </c>
      <c r="K18" s="67">
        <f>IFERROR(VLOOKUP($B18,Table_1b!$A$4:$H$99,COLUMN(K$1)-3,FALSE),"")</f>
        <v>1024</v>
      </c>
    </row>
    <row r="19" spans="1:11">
      <c r="A19" s="41" t="str">
        <f>LEFT(Table_1c!$A$1,8)</f>
        <v>Table 1c</v>
      </c>
      <c r="B19" s="42" t="str">
        <f>Table_1c!A5</f>
        <v>January 2015 to December 2015</v>
      </c>
      <c r="C19" s="63" t="str">
        <f t="shared" si="0"/>
        <v>2015</v>
      </c>
      <c r="D19" s="63" t="s">
        <v>186</v>
      </c>
      <c r="E19" s="64">
        <f>IFERROR(VLOOKUP($B19,Table_1c!$A$4:$H$100,COLUMN(E$1)-3,FALSE),"")</f>
        <v>1160</v>
      </c>
      <c r="F19" s="64" t="str">
        <f>IFERROR(VLOOKUP($B19,Table_1c!$A$4:$H$100,COLUMN(F$1)-3,FALSE),"")</f>
        <v>[x]</v>
      </c>
      <c r="G19" s="64" t="str">
        <f>IFERROR(VLOOKUP($B19,Table_1c!$A$4:$H$100,COLUMN(G$1)-3,FALSE),"")</f>
        <v>[x]</v>
      </c>
      <c r="H19" s="64" t="str">
        <f>IFERROR(VLOOKUP($B19,Table_1c!$A$4:$H$100,COLUMN(H$1)-3,FALSE),"")</f>
        <v>[x]</v>
      </c>
      <c r="I19" s="64" t="str">
        <f>IFERROR(VLOOKUP($B19,Table_1c!$A$4:$H$100,COLUMN(I$1)-3,FALSE),"")</f>
        <v>[x]</v>
      </c>
      <c r="J19" s="64" t="str">
        <f>IFERROR(VLOOKUP($B19,Table_1c!$A$4:$H$100,COLUMN(J$1)-3,FALSE),"")</f>
        <v>[x]</v>
      </c>
      <c r="K19" s="65" t="str">
        <f>IFERROR(VLOOKUP($B19,Table_1c!$A$4:$H$100,COLUMN(K$1)-3,FALSE),"")</f>
        <v>[x]</v>
      </c>
    </row>
    <row r="20" spans="1:11">
      <c r="A20" s="43" t="str">
        <f>LEFT(Table_1c!$A$1,8)</f>
        <v>Table 1c</v>
      </c>
      <c r="B20" t="str">
        <f>Table_1c!A6</f>
        <v>January 2016 to December 2016</v>
      </c>
      <c r="C20" s="62" t="str">
        <f t="shared" si="0"/>
        <v>2016</v>
      </c>
      <c r="D20" s="62" t="s">
        <v>186</v>
      </c>
      <c r="E20" s="66">
        <f>IFERROR(VLOOKUP($B20,Table_1c!$A$4:$H$100,COLUMN(E$1)-3,FALSE),"")</f>
        <v>1170</v>
      </c>
      <c r="F20" s="66" t="str">
        <f>IFERROR(VLOOKUP($B20,Table_1c!$A$4:$H$100,COLUMN(F$1)-3,FALSE),"")</f>
        <v>[x]</v>
      </c>
      <c r="G20" s="66" t="str">
        <f>IFERROR(VLOOKUP($B20,Table_1c!$A$4:$H$100,COLUMN(G$1)-3,FALSE),"")</f>
        <v>[x]</v>
      </c>
      <c r="H20" s="66" t="str">
        <f>IFERROR(VLOOKUP($B20,Table_1c!$A$4:$H$100,COLUMN(H$1)-3,FALSE),"")</f>
        <v>[x]</v>
      </c>
      <c r="I20" s="66" t="str">
        <f>IFERROR(VLOOKUP($B20,Table_1c!$A$4:$H$100,COLUMN(I$1)-3,FALSE),"")</f>
        <v>[x]</v>
      </c>
      <c r="J20" s="66" t="str">
        <f>IFERROR(VLOOKUP($B20,Table_1c!$A$4:$H$100,COLUMN(J$1)-3,FALSE),"")</f>
        <v>[x]</v>
      </c>
      <c r="K20" s="67" t="str">
        <f>IFERROR(VLOOKUP($B20,Table_1c!$A$4:$H$100,COLUMN(K$1)-3,FALSE),"")</f>
        <v>[x]</v>
      </c>
    </row>
    <row r="21" spans="1:11">
      <c r="A21" s="43" t="str">
        <f>LEFT(Table_1c!$A$1,8)</f>
        <v>Table 1c</v>
      </c>
      <c r="B21" t="str">
        <f>Table_1c!A7</f>
        <v>January 2017 to December 2017</v>
      </c>
      <c r="C21" s="62" t="str">
        <f t="shared" si="0"/>
        <v>2017</v>
      </c>
      <c r="D21" s="62" t="s">
        <v>186</v>
      </c>
      <c r="E21" s="66">
        <f>IFERROR(VLOOKUP($B21,Table_1c!$A$4:$H$100,COLUMN(E$1)-3,FALSE),"")</f>
        <v>1050</v>
      </c>
      <c r="F21" s="66" t="str">
        <f>IFERROR(VLOOKUP($B21,Table_1c!$A$4:$H$100,COLUMN(F$1)-3,FALSE),"")</f>
        <v>[x]</v>
      </c>
      <c r="G21" s="66" t="str">
        <f>IFERROR(VLOOKUP($B21,Table_1c!$A$4:$H$100,COLUMN(G$1)-3,FALSE),"")</f>
        <v>[x]</v>
      </c>
      <c r="H21" s="66" t="str">
        <f>IFERROR(VLOOKUP($B21,Table_1c!$A$4:$H$100,COLUMN(H$1)-3,FALSE),"")</f>
        <v>[x]</v>
      </c>
      <c r="I21" s="66" t="str">
        <f>IFERROR(VLOOKUP($B21,Table_1c!$A$4:$H$100,COLUMN(I$1)-3,FALSE),"")</f>
        <v>[x]</v>
      </c>
      <c r="J21" s="66" t="str">
        <f>IFERROR(VLOOKUP($B21,Table_1c!$A$4:$H$100,COLUMN(J$1)-3,FALSE),"")</f>
        <v>[x]</v>
      </c>
      <c r="K21" s="67" t="str">
        <f>IFERROR(VLOOKUP($B21,Table_1c!$A$4:$H$100,COLUMN(K$1)-3,FALSE),"")</f>
        <v>[x]</v>
      </c>
    </row>
    <row r="22" spans="1:11">
      <c r="A22" s="43" t="str">
        <f>LEFT(Table_1c!$A$1,8)</f>
        <v>Table 1c</v>
      </c>
      <c r="B22" t="str">
        <f>Table_1c!A8</f>
        <v>January 2018 to December 2018</v>
      </c>
      <c r="C22" s="62" t="str">
        <f t="shared" si="0"/>
        <v>2018</v>
      </c>
      <c r="D22" s="62" t="s">
        <v>186</v>
      </c>
      <c r="E22" s="66">
        <f>IFERROR(VLOOKUP($B22,Table_1c!$A$4:$H$100,COLUMN(E$1)-3,FALSE),"")</f>
        <v>1036</v>
      </c>
      <c r="F22" s="66" t="str">
        <f>IFERROR(VLOOKUP($B22,Table_1c!$A$4:$H$100,COLUMN(F$1)-3,FALSE),"")</f>
        <v>[x]</v>
      </c>
      <c r="G22" s="66" t="str">
        <f>IFERROR(VLOOKUP($B22,Table_1c!$A$4:$H$100,COLUMN(G$1)-3,FALSE),"")</f>
        <v>[x]</v>
      </c>
      <c r="H22" s="66" t="str">
        <f>IFERROR(VLOOKUP($B22,Table_1c!$A$4:$H$100,COLUMN(H$1)-3,FALSE),"")</f>
        <v>[x]</v>
      </c>
      <c r="I22" s="66" t="str">
        <f>IFERROR(VLOOKUP($B22,Table_1c!$A$4:$H$100,COLUMN(I$1)-3,FALSE),"")</f>
        <v>[x]</v>
      </c>
      <c r="J22" s="66" t="str">
        <f>IFERROR(VLOOKUP($B22,Table_1c!$A$4:$H$100,COLUMN(J$1)-3,FALSE),"")</f>
        <v>[x]</v>
      </c>
      <c r="K22" s="67" t="str">
        <f>IFERROR(VLOOKUP($B22,Table_1c!$A$4:$H$100,COLUMN(K$1)-3,FALSE),"")</f>
        <v>[x]</v>
      </c>
    </row>
    <row r="23" spans="1:11">
      <c r="A23" s="43" t="str">
        <f>LEFT(Table_1c!$A$1,8)</f>
        <v>Table 1c</v>
      </c>
      <c r="B23" t="str">
        <f>Table_1c!A9</f>
        <v>January 2019 to December 2019</v>
      </c>
      <c r="C23" s="62" t="str">
        <f t="shared" si="0"/>
        <v>2019</v>
      </c>
      <c r="D23" s="62" t="s">
        <v>186</v>
      </c>
      <c r="E23" s="66">
        <f>IFERROR(VLOOKUP($B23,Table_1c!$A$4:$H$100,COLUMN(E$1)-3,FALSE),"")</f>
        <v>962</v>
      </c>
      <c r="F23" s="66">
        <f>IFERROR(VLOOKUP($B23,Table_1c!$A$4:$H$100,COLUMN(F$1)-3,FALSE),"")</f>
        <v>118</v>
      </c>
      <c r="G23" s="66">
        <f>IFERROR(VLOOKUP($B23,Table_1c!$A$4:$H$100,COLUMN(G$1)-3,FALSE),"")</f>
        <v>78</v>
      </c>
      <c r="H23" s="66">
        <f>IFERROR(VLOOKUP($B23,Table_1c!$A$4:$H$100,COLUMN(H$1)-3,FALSE),"")</f>
        <v>192</v>
      </c>
      <c r="I23" s="66">
        <f>IFERROR(VLOOKUP($B23,Table_1c!$A$4:$H$100,COLUMN(I$1)-3,FALSE),"")</f>
        <v>128</v>
      </c>
      <c r="J23" s="66">
        <f>IFERROR(VLOOKUP($B23,Table_1c!$A$4:$H$100,COLUMN(J$1)-3,FALSE),"")</f>
        <v>333</v>
      </c>
      <c r="K23" s="67">
        <f>IFERROR(VLOOKUP($B23,Table_1c!$A$4:$H$100,COLUMN(K$1)-3,FALSE),"")</f>
        <v>113</v>
      </c>
    </row>
    <row r="24" spans="1:11">
      <c r="A24" s="43" t="str">
        <f>LEFT(Table_1c!$A$1,8)</f>
        <v>Table 1c</v>
      </c>
      <c r="B24" t="str">
        <f>Table_1c!A10</f>
        <v>January 2020 to December 2020 [Note 1]</v>
      </c>
      <c r="C24" s="62" t="str">
        <f t="shared" si="0"/>
        <v>2020</v>
      </c>
      <c r="D24" s="62" t="s">
        <v>186</v>
      </c>
      <c r="E24" s="66">
        <f>IFERROR(VLOOKUP($B24,Table_1c!$A$4:$H$100,COLUMN(E$1)-3,FALSE),"")</f>
        <v>605</v>
      </c>
      <c r="F24" s="66">
        <f>IFERROR(VLOOKUP($B24,Table_1c!$A$4:$H$100,COLUMN(F$1)-3,FALSE),"")</f>
        <v>74</v>
      </c>
      <c r="G24" s="66">
        <f>IFERROR(VLOOKUP($B24,Table_1c!$A$4:$H$100,COLUMN(G$1)-3,FALSE),"")</f>
        <v>57</v>
      </c>
      <c r="H24" s="66">
        <f>IFERROR(VLOOKUP($B24,Table_1c!$A$4:$H$100,COLUMN(H$1)-3,FALSE),"")</f>
        <v>103</v>
      </c>
      <c r="I24" s="66">
        <f>IFERROR(VLOOKUP($B24,Table_1c!$A$4:$H$100,COLUMN(I$1)-3,FALSE),"")</f>
        <v>91</v>
      </c>
      <c r="J24" s="66">
        <f>IFERROR(VLOOKUP($B24,Table_1c!$A$4:$H$100,COLUMN(J$1)-3,FALSE),"")</f>
        <v>196</v>
      </c>
      <c r="K24" s="67">
        <f>IFERROR(VLOOKUP($B24,Table_1c!$A$4:$H$100,COLUMN(K$1)-3,FALSE),"")</f>
        <v>84</v>
      </c>
    </row>
    <row r="25" spans="1:11">
      <c r="A25" s="43" t="str">
        <f>LEFT(Table_1c!$A$1,8)</f>
        <v>Table 1c</v>
      </c>
      <c r="B25" t="str">
        <f>Table_1c!A11</f>
        <v>January 2021 to December 2021 [Note 1]</v>
      </c>
      <c r="C25" s="62" t="str">
        <f t="shared" ref="C25" si="3">IF(ISNUMBER(SEARCH("2015",B25)),"2015",IF(ISNUMBER(SEARCH("2016",B25)),"2016",IF(ISNUMBER(SEARCH("2017",B25)),"2017",IF(ISNUMBER(SEARCH("2018",B25)),"2018",IF(ISNUMBER(SEARCH("2019",B25)),"2019",IF(ISNUMBER(SEARCH("2020",B25)),"2020",IF(ISNUMBER(SEARCH("2021",B25)),"2021",IF(ISNUMBER(SEARCH("2022",B25)),"2022",IF(ISNUMBER(SEARCH("2023",B25)),"2023",IF(ISNUMBER(SEARCH("2024",B25)),"2024",IF(ISNUMBER(SEARCH("2025",B25)),"2025","")))))))))))</f>
        <v>2021</v>
      </c>
      <c r="D25" s="62" t="s">
        <v>186</v>
      </c>
      <c r="E25" s="66">
        <f>IFERROR(VLOOKUP($B25,Table_1c!$A$4:$H$100,COLUMN(E$1)-3,FALSE),"")</f>
        <v>803</v>
      </c>
      <c r="F25" s="66">
        <f>IFERROR(VLOOKUP($B25,Table_1c!$A$4:$H$100,COLUMN(F$1)-3,FALSE),"")</f>
        <v>73</v>
      </c>
      <c r="G25" s="66">
        <f>IFERROR(VLOOKUP($B25,Table_1c!$A$4:$H$100,COLUMN(G$1)-3,FALSE),"")</f>
        <v>68</v>
      </c>
      <c r="H25" s="66">
        <f>IFERROR(VLOOKUP($B25,Table_1c!$A$4:$H$100,COLUMN(H$1)-3,FALSE),"")</f>
        <v>156</v>
      </c>
      <c r="I25" s="66">
        <f>IFERROR(VLOOKUP($B25,Table_1c!$A$4:$H$100,COLUMN(I$1)-3,FALSE),"")</f>
        <v>142</v>
      </c>
      <c r="J25" s="66">
        <f>IFERROR(VLOOKUP($B25,Table_1c!$A$4:$H$100,COLUMN(J$1)-3,FALSE),"")</f>
        <v>252</v>
      </c>
      <c r="K25" s="67">
        <f>IFERROR(VLOOKUP($B25,Table_1c!$A$4:$H$100,COLUMN(K$1)-3,FALSE),"")</f>
        <v>112</v>
      </c>
    </row>
    <row r="26" spans="1:11" ht="15" thickBot="1">
      <c r="A26" s="43" t="str">
        <f>LEFT(Table_1c!$A$1,8)</f>
        <v>Table 1c</v>
      </c>
      <c r="B26" t="str">
        <f>Table_1c!A12</f>
        <v>January 2022 to December 2022 [Note 1]</v>
      </c>
      <c r="C26" s="114" t="str">
        <f>IF(ISNUMBER(SEARCH("2015",B26)),"2015",IF(ISNUMBER(SEARCH("2016",B26)),"2016",IF(ISNUMBER(SEARCH("2017",B26)),"2017",IF(ISNUMBER(SEARCH("2018",B26)),"2018",IF(ISNUMBER(SEARCH("2019",B26)),"2019",IF(ISNUMBER(SEARCH("2020",B26)),"2020",IF(ISNUMBER(SEARCH("2021",B26)),"2021",IF(ISNUMBER(SEARCH("2022",B26)),"2022",IF(ISNUMBER(SEARCH("2023",B26)),"2023",IF(ISNUMBER(SEARCH("2024",B26)),"2024",IF(ISNUMBER(SEARCH("2025",B26)),"2025","")))))))))))</f>
        <v>2022</v>
      </c>
      <c r="D26" s="62" t="s">
        <v>186</v>
      </c>
      <c r="E26" s="66">
        <f>IFERROR(VLOOKUP($B26,Table_1c!$A$4:$H$100,COLUMN(E$1)-3,FALSE),"")</f>
        <v>834</v>
      </c>
      <c r="F26" s="66">
        <f>IFERROR(VLOOKUP($B26,Table_1c!$A$4:$H$100,COLUMN(F$1)-3,FALSE),"")</f>
        <v>80</v>
      </c>
      <c r="G26" s="66">
        <f>IFERROR(VLOOKUP($B26,Table_1c!$A$4:$H$100,COLUMN(G$1)-3,FALSE),"")</f>
        <v>86</v>
      </c>
      <c r="H26" s="66">
        <f>IFERROR(VLOOKUP($B26,Table_1c!$A$4:$H$100,COLUMN(H$1)-3,FALSE),"")</f>
        <v>163</v>
      </c>
      <c r="I26" s="66">
        <f>IFERROR(VLOOKUP($B26,Table_1c!$A$4:$H$100,COLUMN(I$1)-3,FALSE),"")</f>
        <v>127</v>
      </c>
      <c r="J26" s="66">
        <f>IFERROR(VLOOKUP($B26,Table_1c!$A$4:$H$100,COLUMN(J$1)-3,FALSE),"")</f>
        <v>273</v>
      </c>
      <c r="K26" s="67">
        <f>IFERROR(VLOOKUP($B26,Table_1c!$A$4:$H$100,COLUMN(K$1)-3,FALSE),"")</f>
        <v>105</v>
      </c>
    </row>
    <row r="27" spans="1:11">
      <c r="A27" s="41" t="str">
        <f>LEFT(Table_1d!$A$1,8)</f>
        <v>Table 1d</v>
      </c>
      <c r="B27" s="42" t="str">
        <f>Table_1d!A5</f>
        <v>January 2015 to December 2015</v>
      </c>
      <c r="C27" s="63" t="str">
        <f t="shared" si="0"/>
        <v>2015</v>
      </c>
      <c r="D27" s="63" t="s">
        <v>187</v>
      </c>
      <c r="E27" s="64">
        <f>IFERROR(VLOOKUP($B27,Table_1d!$A$5:$H$214,COLUMN(E$1)-3,FALSE),"")</f>
        <v>849</v>
      </c>
      <c r="F27" s="64">
        <f>IFERROR(VLOOKUP($B27,Table_1d!$A$5:$H$214,COLUMN(F$1)-3,FALSE),"")</f>
        <v>0</v>
      </c>
      <c r="G27" s="64">
        <f>IFERROR(VLOOKUP($B27,Table_1d!$A$5:$H$214,COLUMN(G$1)-3,FALSE),"")</f>
        <v>0</v>
      </c>
      <c r="H27" s="64">
        <f>IFERROR(VLOOKUP($B27,Table_1d!$A$5:$H$214,COLUMN(H$1)-3,FALSE),"")</f>
        <v>0</v>
      </c>
      <c r="I27" s="64">
        <f>IFERROR(VLOOKUP($B27,Table_1d!$A$5:$H$214,COLUMN(I$1)-3,FALSE),"")</f>
        <v>0</v>
      </c>
      <c r="J27" s="64">
        <f>IFERROR(VLOOKUP($B27,Table_1d!$A$5:$H$214,COLUMN(J$1)-3,FALSE),"")</f>
        <v>0</v>
      </c>
      <c r="K27" s="65">
        <f>IFERROR(VLOOKUP($B27,Table_1d!$A$5:$H$214,COLUMN(K$1)-3,FALSE),"")</f>
        <v>0</v>
      </c>
    </row>
    <row r="28" spans="1:11">
      <c r="A28" s="43" t="str">
        <f>LEFT(Table_1d!$A$1,8)</f>
        <v>Table 1d</v>
      </c>
      <c r="B28" t="str">
        <f>Table_1d!A6</f>
        <v>January 2016 to December 2016</v>
      </c>
      <c r="C28" s="62" t="str">
        <f t="shared" si="0"/>
        <v>2016</v>
      </c>
      <c r="D28" s="62" t="s">
        <v>187</v>
      </c>
      <c r="E28" s="66">
        <f>IFERROR(VLOOKUP($B28,Table_1d!$A$5:$H$214,COLUMN(E$1)-3,FALSE),"")</f>
        <v>864</v>
      </c>
      <c r="F28" s="66">
        <f>IFERROR(VLOOKUP($B28,Table_1d!$A$5:$H$214,COLUMN(F$1)-3,FALSE),"")</f>
        <v>0</v>
      </c>
      <c r="G28" s="66">
        <f>IFERROR(VLOOKUP($B28,Table_1d!$A$5:$H$214,COLUMN(G$1)-3,FALSE),"")</f>
        <v>0</v>
      </c>
      <c r="H28" s="66">
        <f>IFERROR(VLOOKUP($B28,Table_1d!$A$5:$H$214,COLUMN(H$1)-3,FALSE),"")</f>
        <v>0</v>
      </c>
      <c r="I28" s="66">
        <f>IFERROR(VLOOKUP($B28,Table_1d!$A$5:$H$214,COLUMN(I$1)-3,FALSE),"")</f>
        <v>0</v>
      </c>
      <c r="J28" s="66">
        <f>IFERROR(VLOOKUP($B28,Table_1d!$A$5:$H$214,COLUMN(J$1)-3,FALSE),"")</f>
        <v>0</v>
      </c>
      <c r="K28" s="67">
        <f>IFERROR(VLOOKUP($B28,Table_1d!$A$5:$H$214,COLUMN(K$1)-3,FALSE),"")</f>
        <v>0</v>
      </c>
    </row>
    <row r="29" spans="1:11">
      <c r="A29" s="43" t="str">
        <f>LEFT(Table_1d!$A$1,8)</f>
        <v>Table 1d</v>
      </c>
      <c r="B29" t="str">
        <f>Table_1d!A7</f>
        <v>January 2017 to December 2017</v>
      </c>
      <c r="C29" s="62" t="str">
        <f t="shared" si="0"/>
        <v>2017</v>
      </c>
      <c r="D29" s="62" t="s">
        <v>187</v>
      </c>
      <c r="E29" s="66">
        <f>IFERROR(VLOOKUP($B29,Table_1d!$A$5:$H$214,COLUMN(E$1)-3,FALSE),"")</f>
        <v>760</v>
      </c>
      <c r="F29" s="66">
        <f>IFERROR(VLOOKUP($B29,Table_1d!$A$5:$H$214,COLUMN(F$1)-3,FALSE),"")</f>
        <v>0</v>
      </c>
      <c r="G29" s="66">
        <f>IFERROR(VLOOKUP($B29,Table_1d!$A$5:$H$214,COLUMN(G$1)-3,FALSE),"")</f>
        <v>0</v>
      </c>
      <c r="H29" s="66">
        <f>IFERROR(VLOOKUP($B29,Table_1d!$A$5:$H$214,COLUMN(H$1)-3,FALSE),"")</f>
        <v>0</v>
      </c>
      <c r="I29" s="66">
        <f>IFERROR(VLOOKUP($B29,Table_1d!$A$5:$H$214,COLUMN(I$1)-3,FALSE),"")</f>
        <v>0</v>
      </c>
      <c r="J29" s="66">
        <f>IFERROR(VLOOKUP($B29,Table_1d!$A$5:$H$214,COLUMN(J$1)-3,FALSE),"")</f>
        <v>0</v>
      </c>
      <c r="K29" s="67">
        <f>IFERROR(VLOOKUP($B29,Table_1d!$A$5:$H$214,COLUMN(K$1)-3,FALSE),"")</f>
        <v>0</v>
      </c>
    </row>
    <row r="30" spans="1:11">
      <c r="A30" s="43" t="str">
        <f>LEFT(Table_1d!$A$1,8)</f>
        <v>Table 1d</v>
      </c>
      <c r="B30" t="str">
        <f>Table_1d!A8</f>
        <v>January 2018 to December 2018</v>
      </c>
      <c r="C30" s="62" t="str">
        <f t="shared" si="0"/>
        <v>2018</v>
      </c>
      <c r="D30" s="62" t="s">
        <v>187</v>
      </c>
      <c r="E30" s="66">
        <f>IFERROR(VLOOKUP($B30,Table_1d!$A$5:$H$214,COLUMN(E$1)-3,FALSE),"")</f>
        <v>785</v>
      </c>
      <c r="F30" s="66">
        <f>IFERROR(VLOOKUP($B30,Table_1d!$A$5:$H$214,COLUMN(F$1)-3,FALSE),"")</f>
        <v>0</v>
      </c>
      <c r="G30" s="66">
        <f>IFERROR(VLOOKUP($B30,Table_1d!$A$5:$H$214,COLUMN(G$1)-3,FALSE),"")</f>
        <v>0</v>
      </c>
      <c r="H30" s="66">
        <f>IFERROR(VLOOKUP($B30,Table_1d!$A$5:$H$214,COLUMN(H$1)-3,FALSE),"")</f>
        <v>0</v>
      </c>
      <c r="I30" s="66">
        <f>IFERROR(VLOOKUP($B30,Table_1d!$A$5:$H$214,COLUMN(I$1)-3,FALSE),"")</f>
        <v>0</v>
      </c>
      <c r="J30" s="66">
        <f>IFERROR(VLOOKUP($B30,Table_1d!$A$5:$H$214,COLUMN(J$1)-3,FALSE),"")</f>
        <v>0</v>
      </c>
      <c r="K30" s="67">
        <f>IFERROR(VLOOKUP($B30,Table_1d!$A$5:$H$214,COLUMN(K$1)-3,FALSE),"")</f>
        <v>0</v>
      </c>
    </row>
    <row r="31" spans="1:11">
      <c r="A31" s="43" t="str">
        <f>LEFT(Table_1d!$A$1,8)</f>
        <v>Table 1d</v>
      </c>
      <c r="B31" t="str">
        <f>Table_1d!A9</f>
        <v>January 2019 to December 2019</v>
      </c>
      <c r="C31" s="62" t="str">
        <f t="shared" si="0"/>
        <v>2019</v>
      </c>
      <c r="D31" s="62" t="s">
        <v>187</v>
      </c>
      <c r="E31" s="66">
        <f>IFERROR(VLOOKUP($B31,Table_1d!$A$5:$H$214,COLUMN(E$1)-3,FALSE),"")</f>
        <v>694</v>
      </c>
      <c r="F31" s="66">
        <f>IFERROR(VLOOKUP($B31,Table_1d!$A$5:$H$214,COLUMN(F$1)-3,FALSE),"")</f>
        <v>0</v>
      </c>
      <c r="G31" s="66">
        <f>IFERROR(VLOOKUP($B31,Table_1d!$A$5:$H$214,COLUMN(G$1)-3,FALSE),"")</f>
        <v>0</v>
      </c>
      <c r="H31" s="66">
        <f>IFERROR(VLOOKUP($B31,Table_1d!$A$5:$H$214,COLUMN(H$1)-3,FALSE),"")</f>
        <v>0</v>
      </c>
      <c r="I31" s="66">
        <f>IFERROR(VLOOKUP($B31,Table_1d!$A$5:$H$214,COLUMN(I$1)-3,FALSE),"")</f>
        <v>0</v>
      </c>
      <c r="J31" s="66">
        <f>IFERROR(VLOOKUP($B31,Table_1d!$A$5:$H$214,COLUMN(J$1)-3,FALSE),"")</f>
        <v>0</v>
      </c>
      <c r="K31" s="67">
        <f>IFERROR(VLOOKUP($B31,Table_1d!$A$5:$H$214,COLUMN(K$1)-3,FALSE),"")</f>
        <v>0</v>
      </c>
    </row>
    <row r="32" spans="1:11">
      <c r="A32" s="43" t="str">
        <f>LEFT(Table_1d!$A$1,8)</f>
        <v>Table 1d</v>
      </c>
      <c r="B32" t="str">
        <f>Table_1d!A10</f>
        <v>January 2020 to December 2020 [Note 1]</v>
      </c>
      <c r="C32" s="62" t="str">
        <f t="shared" si="0"/>
        <v>2020</v>
      </c>
      <c r="D32" s="62" t="s">
        <v>187</v>
      </c>
      <c r="E32" s="66">
        <f>IFERROR(VLOOKUP($B32,Table_1d!$A$5:$H$214,COLUMN(E$1)-3,FALSE),"")</f>
        <v>404</v>
      </c>
      <c r="F32" s="66">
        <f>IFERROR(VLOOKUP($B32,Table_1d!$A$5:$H$214,COLUMN(F$1)-3,FALSE),"")</f>
        <v>0</v>
      </c>
      <c r="G32" s="66">
        <f>IFERROR(VLOOKUP($B32,Table_1d!$A$5:$H$214,COLUMN(G$1)-3,FALSE),"")</f>
        <v>0</v>
      </c>
      <c r="H32" s="66">
        <f>IFERROR(VLOOKUP($B32,Table_1d!$A$5:$H$214,COLUMN(H$1)-3,FALSE),"")</f>
        <v>0</v>
      </c>
      <c r="I32" s="66">
        <f>IFERROR(VLOOKUP($B32,Table_1d!$A$5:$H$214,COLUMN(I$1)-3,FALSE),"")</f>
        <v>0</v>
      </c>
      <c r="J32" s="66">
        <f>IFERROR(VLOOKUP($B32,Table_1d!$A$5:$H$214,COLUMN(J$1)-3,FALSE),"")</f>
        <v>0</v>
      </c>
      <c r="K32" s="67">
        <f>IFERROR(VLOOKUP($B32,Table_1d!$A$5:$H$214,COLUMN(K$1)-3,FALSE),"")</f>
        <v>0</v>
      </c>
    </row>
    <row r="33" spans="1:11">
      <c r="A33" s="43" t="str">
        <f>LEFT(Table_1d!$A$1,8)</f>
        <v>Table 1d</v>
      </c>
      <c r="B33" t="str">
        <f>Table_1d!A11</f>
        <v>January 2021 to December 2021 [Note 1]</v>
      </c>
      <c r="C33" s="62" t="str">
        <f t="shared" ref="C33" si="4">IF(ISNUMBER(SEARCH("2015",B33)),"2015",IF(ISNUMBER(SEARCH("2016",B33)),"2016",IF(ISNUMBER(SEARCH("2017",B33)),"2017",IF(ISNUMBER(SEARCH("2018",B33)),"2018",IF(ISNUMBER(SEARCH("2019",B33)),"2019",IF(ISNUMBER(SEARCH("2020",B33)),"2020",IF(ISNUMBER(SEARCH("2021",B33)),"2021",IF(ISNUMBER(SEARCH("2022",B33)),"2022",IF(ISNUMBER(SEARCH("2023",B33)),"2023",IF(ISNUMBER(SEARCH("2024",B33)),"2024",IF(ISNUMBER(SEARCH("2025",B33)),"2025","")))))))))))</f>
        <v>2021</v>
      </c>
      <c r="D33" s="62" t="s">
        <v>187</v>
      </c>
      <c r="E33" s="66">
        <f>IFERROR(VLOOKUP($B33,Table_1d!$A$5:$H$214,COLUMN(E$1)-3,FALSE),"")</f>
        <v>547</v>
      </c>
      <c r="F33" s="66">
        <f>IFERROR(VLOOKUP($B33,Table_1d!$A$5:$H$214,COLUMN(F$1)-3,FALSE),"")</f>
        <v>0</v>
      </c>
      <c r="G33" s="66">
        <f>IFERROR(VLOOKUP($B33,Table_1d!$A$5:$H$214,COLUMN(G$1)-3,FALSE),"")</f>
        <v>0</v>
      </c>
      <c r="H33" s="66">
        <f>IFERROR(VLOOKUP($B33,Table_1d!$A$5:$H$214,COLUMN(H$1)-3,FALSE),"")</f>
        <v>0</v>
      </c>
      <c r="I33" s="66">
        <f>IFERROR(VLOOKUP($B33,Table_1d!$A$5:$H$214,COLUMN(I$1)-3,FALSE),"")</f>
        <v>0</v>
      </c>
      <c r="J33" s="66">
        <f>IFERROR(VLOOKUP($B33,Table_1d!$A$5:$H$214,COLUMN(J$1)-3,FALSE),"")</f>
        <v>0</v>
      </c>
      <c r="K33" s="67">
        <f>IFERROR(VLOOKUP($B33,Table_1d!$A$5:$H$214,COLUMN(K$1)-3,FALSE),"")</f>
        <v>0</v>
      </c>
    </row>
    <row r="34" spans="1:11" ht="15" thickBot="1">
      <c r="A34" s="43" t="str">
        <f>LEFT(Table_1d!$A$1,8)</f>
        <v>Table 1d</v>
      </c>
      <c r="B34" t="str">
        <f>Table_1d!A12</f>
        <v>January 2022 to December 2022 [Note 1]</v>
      </c>
      <c r="C34" s="114" t="str">
        <f>IF(ISNUMBER(SEARCH("2015",B34)),"2015",IF(ISNUMBER(SEARCH("2016",B34)),"2016",IF(ISNUMBER(SEARCH("2017",B34)),"2017",IF(ISNUMBER(SEARCH("2018",B34)),"2018",IF(ISNUMBER(SEARCH("2019",B34)),"2019",IF(ISNUMBER(SEARCH("2020",B34)),"2020",IF(ISNUMBER(SEARCH("2021",B34)),"2021",IF(ISNUMBER(SEARCH("2022",B34)),"2022",IF(ISNUMBER(SEARCH("2023",B34)),"2023",IF(ISNUMBER(SEARCH("2024",B34)),"2024",IF(ISNUMBER(SEARCH("2025",B34)),"2025","")))))))))))</f>
        <v>2022</v>
      </c>
      <c r="D34" s="62" t="s">
        <v>187</v>
      </c>
      <c r="E34" s="66">
        <f>IFERROR(VLOOKUP($B34,Table_1d!$A$5:$H$214,COLUMN(E$1)-3,FALSE),"")</f>
        <v>598</v>
      </c>
      <c r="F34" s="66">
        <f>IFERROR(VLOOKUP($B34,Table_1d!$A$5:$H$214,COLUMN(F$1)-3,FALSE),"")</f>
        <v>0</v>
      </c>
      <c r="G34" s="66">
        <f>IFERROR(VLOOKUP($B34,Table_1d!$A$5:$H$214,COLUMN(G$1)-3,FALSE),"")</f>
        <v>0</v>
      </c>
      <c r="H34" s="66">
        <f>IFERROR(VLOOKUP($B34,Table_1d!$A$5:$H$214,COLUMN(H$1)-3,FALSE),"")</f>
        <v>0</v>
      </c>
      <c r="I34" s="66">
        <f>IFERROR(VLOOKUP($B34,Table_1d!$A$5:$H$214,COLUMN(I$1)-3,FALSE),"")</f>
        <v>0</v>
      </c>
      <c r="J34" s="66">
        <f>IFERROR(VLOOKUP($B34,Table_1d!$A$5:$H$214,COLUMN(J$1)-3,FALSE),"")</f>
        <v>0</v>
      </c>
      <c r="K34" s="67">
        <f>IFERROR(VLOOKUP($B34,Table_1d!$A$5:$H$214,COLUMN(K$1)-3,FALSE),"")</f>
        <v>0</v>
      </c>
    </row>
    <row r="35" spans="1:11">
      <c r="A35" s="41" t="str">
        <f>LEFT(Table_1e!$A$1,8)</f>
        <v>Table 1e</v>
      </c>
      <c r="B35" s="42" t="str">
        <f>Table_1e!A5</f>
        <v>January 2015 to December 2015</v>
      </c>
      <c r="C35" s="63" t="str">
        <f t="shared" si="0"/>
        <v>2015</v>
      </c>
      <c r="D35" s="63" t="s">
        <v>188</v>
      </c>
      <c r="E35" s="64">
        <f>IFERROR(VLOOKUP($B35,Table_1e!$A$5:$H$146,COLUMN(E$1)-3,FALSE),"")</f>
        <v>153</v>
      </c>
      <c r="F35" s="64">
        <f>IFERROR(VLOOKUP($B35,Table_1e!$A$5:$H$146,COLUMN(F$1)-3,FALSE),"")</f>
        <v>0</v>
      </c>
      <c r="G35" s="64">
        <f>IFERROR(VLOOKUP($B35,Table_1e!$A$5:$H$146,COLUMN(G$1)-3,FALSE),"")</f>
        <v>0</v>
      </c>
      <c r="H35" s="64">
        <f>IFERROR(VLOOKUP($B35,Table_1e!$A$5:$H$146,COLUMN(H$1)-3,FALSE),"")</f>
        <v>0</v>
      </c>
      <c r="I35" s="64">
        <f>IFERROR(VLOOKUP($B35,Table_1e!$A$5:$H$146,COLUMN(I$1)-3,FALSE),"")</f>
        <v>0</v>
      </c>
      <c r="J35" s="64">
        <f>IFERROR(VLOOKUP($B35,Table_1e!$A$5:$H$146,COLUMN(J$1)-3,FALSE),"")</f>
        <v>0</v>
      </c>
      <c r="K35" s="65">
        <f>IFERROR(VLOOKUP($B35,Table_1e!$A$5:$H$146,COLUMN(K$1)-3,FALSE),"")</f>
        <v>0</v>
      </c>
    </row>
    <row r="36" spans="1:11">
      <c r="A36" s="43" t="str">
        <f>LEFT(Table_1e!$A$1,8)</f>
        <v>Table 1e</v>
      </c>
      <c r="B36" t="str">
        <f>Table_1e!A6</f>
        <v>January 2016 to December 2016</v>
      </c>
      <c r="C36" s="62" t="str">
        <f t="shared" si="0"/>
        <v>2016</v>
      </c>
      <c r="D36" s="62" t="s">
        <v>188</v>
      </c>
      <c r="E36" s="66">
        <f>IFERROR(VLOOKUP($B36,Table_1e!$A$5:$H$146,COLUMN(E$1)-3,FALSE),"")</f>
        <v>152</v>
      </c>
      <c r="F36" s="66">
        <f>IFERROR(VLOOKUP($B36,Table_1e!$A$5:$H$146,COLUMN(F$1)-3,FALSE),"")</f>
        <v>0</v>
      </c>
      <c r="G36" s="66">
        <f>IFERROR(VLOOKUP($B36,Table_1e!$A$5:$H$146,COLUMN(G$1)-3,FALSE),"")</f>
        <v>0</v>
      </c>
      <c r="H36" s="66">
        <f>IFERROR(VLOOKUP($B36,Table_1e!$A$5:$H$146,COLUMN(H$1)-3,FALSE),"")</f>
        <v>0</v>
      </c>
      <c r="I36" s="66">
        <f>IFERROR(VLOOKUP($B36,Table_1e!$A$5:$H$146,COLUMN(I$1)-3,FALSE),"")</f>
        <v>0</v>
      </c>
      <c r="J36" s="66">
        <f>IFERROR(VLOOKUP($B36,Table_1e!$A$5:$H$146,COLUMN(J$1)-3,FALSE),"")</f>
        <v>0</v>
      </c>
      <c r="K36" s="67">
        <f>IFERROR(VLOOKUP($B36,Table_1e!$A$5:$H$146,COLUMN(K$1)-3,FALSE),"")</f>
        <v>0</v>
      </c>
    </row>
    <row r="37" spans="1:11">
      <c r="A37" s="43" t="str">
        <f>LEFT(Table_1e!$A$1,8)</f>
        <v>Table 1e</v>
      </c>
      <c r="B37" t="str">
        <f>Table_1e!A7</f>
        <v>January 2017 to December 2017</v>
      </c>
      <c r="C37" s="62" t="str">
        <f t="shared" si="0"/>
        <v>2017</v>
      </c>
      <c r="D37" s="62" t="s">
        <v>188</v>
      </c>
      <c r="E37" s="66">
        <f>IFERROR(VLOOKUP($B37,Table_1e!$A$5:$H$146,COLUMN(E$1)-3,FALSE),"")</f>
        <v>137</v>
      </c>
      <c r="F37" s="66">
        <f>IFERROR(VLOOKUP($B37,Table_1e!$A$5:$H$146,COLUMN(F$1)-3,FALSE),"")</f>
        <v>0</v>
      </c>
      <c r="G37" s="66">
        <f>IFERROR(VLOOKUP($B37,Table_1e!$A$5:$H$146,COLUMN(G$1)-3,FALSE),"")</f>
        <v>0</v>
      </c>
      <c r="H37" s="66">
        <f>IFERROR(VLOOKUP($B37,Table_1e!$A$5:$H$146,COLUMN(H$1)-3,FALSE),"")</f>
        <v>0</v>
      </c>
      <c r="I37" s="66">
        <f>IFERROR(VLOOKUP($B37,Table_1e!$A$5:$H$146,COLUMN(I$1)-3,FALSE),"")</f>
        <v>0</v>
      </c>
      <c r="J37" s="66">
        <f>IFERROR(VLOOKUP($B37,Table_1e!$A$5:$H$146,COLUMN(J$1)-3,FALSE),"")</f>
        <v>0</v>
      </c>
      <c r="K37" s="67">
        <f>IFERROR(VLOOKUP($B37,Table_1e!$A$5:$H$146,COLUMN(K$1)-3,FALSE),"")</f>
        <v>0</v>
      </c>
    </row>
    <row r="38" spans="1:11">
      <c r="A38" s="43" t="str">
        <f>LEFT(Table_1e!$A$1,8)</f>
        <v>Table 1e</v>
      </c>
      <c r="B38" t="str">
        <f>Table_1e!A8</f>
        <v>January 2018 to December 2018</v>
      </c>
      <c r="C38" s="62" t="str">
        <f t="shared" si="0"/>
        <v>2018</v>
      </c>
      <c r="D38" s="62" t="s">
        <v>188</v>
      </c>
      <c r="E38" s="66">
        <f>IFERROR(VLOOKUP($B38,Table_1e!$A$5:$H$146,COLUMN(E$1)-3,FALSE),"")</f>
        <v>103</v>
      </c>
      <c r="F38" s="66">
        <f>IFERROR(VLOOKUP($B38,Table_1e!$A$5:$H$146,COLUMN(F$1)-3,FALSE),"")</f>
        <v>0</v>
      </c>
      <c r="G38" s="66">
        <f>IFERROR(VLOOKUP($B38,Table_1e!$A$5:$H$146,COLUMN(G$1)-3,FALSE),"")</f>
        <v>0</v>
      </c>
      <c r="H38" s="66">
        <f>IFERROR(VLOOKUP($B38,Table_1e!$A$5:$H$146,COLUMN(H$1)-3,FALSE),"")</f>
        <v>0</v>
      </c>
      <c r="I38" s="66">
        <f>IFERROR(VLOOKUP($B38,Table_1e!$A$5:$H$146,COLUMN(I$1)-3,FALSE),"")</f>
        <v>0</v>
      </c>
      <c r="J38" s="66">
        <f>IFERROR(VLOOKUP($B38,Table_1e!$A$5:$H$146,COLUMN(J$1)-3,FALSE),"")</f>
        <v>0</v>
      </c>
      <c r="K38" s="67">
        <f>IFERROR(VLOOKUP($B38,Table_1e!$A$5:$H$146,COLUMN(K$1)-3,FALSE),"")</f>
        <v>0</v>
      </c>
    </row>
    <row r="39" spans="1:11">
      <c r="A39" s="43" t="str">
        <f>LEFT(Table_1e!$A$1,8)</f>
        <v>Table 1e</v>
      </c>
      <c r="B39" t="str">
        <f>Table_1e!A9</f>
        <v>January 2019 to December 2019</v>
      </c>
      <c r="C39" s="62" t="str">
        <f t="shared" si="0"/>
        <v>2019</v>
      </c>
      <c r="D39" s="62" t="s">
        <v>188</v>
      </c>
      <c r="E39" s="66">
        <f>IFERROR(VLOOKUP($B39,Table_1e!$A$5:$H$146,COLUMN(E$1)-3,FALSE),"")</f>
        <v>112</v>
      </c>
      <c r="F39" s="66">
        <f>IFERROR(VLOOKUP($B39,Table_1e!$A$5:$H$146,COLUMN(F$1)-3,FALSE),"")</f>
        <v>0</v>
      </c>
      <c r="G39" s="66">
        <f>IFERROR(VLOOKUP($B39,Table_1e!$A$5:$H$146,COLUMN(G$1)-3,FALSE),"")</f>
        <v>0</v>
      </c>
      <c r="H39" s="66">
        <f>IFERROR(VLOOKUP($B39,Table_1e!$A$5:$H$146,COLUMN(H$1)-3,FALSE),"")</f>
        <v>0</v>
      </c>
      <c r="I39" s="66">
        <f>IFERROR(VLOOKUP($B39,Table_1e!$A$5:$H$146,COLUMN(I$1)-3,FALSE),"")</f>
        <v>0</v>
      </c>
      <c r="J39" s="66">
        <f>IFERROR(VLOOKUP($B39,Table_1e!$A$5:$H$146,COLUMN(J$1)-3,FALSE),"")</f>
        <v>0</v>
      </c>
      <c r="K39" s="67">
        <f>IFERROR(VLOOKUP($B39,Table_1e!$A$5:$H$146,COLUMN(K$1)-3,FALSE),"")</f>
        <v>0</v>
      </c>
    </row>
    <row r="40" spans="1:11">
      <c r="A40" s="43" t="str">
        <f>LEFT(Table_1e!$A$1,8)</f>
        <v>Table 1e</v>
      </c>
      <c r="B40" t="str">
        <f>Table_1e!A10</f>
        <v>January 2020 to December 2020 [Note 1]</v>
      </c>
      <c r="C40" s="62" t="str">
        <f t="shared" si="0"/>
        <v>2020</v>
      </c>
      <c r="D40" s="62" t="s">
        <v>188</v>
      </c>
      <c r="E40" s="66">
        <f>IFERROR(VLOOKUP($B40,Table_1e!$A$5:$H$146,COLUMN(E$1)-3,FALSE),"")</f>
        <v>99</v>
      </c>
      <c r="F40" s="66">
        <f>IFERROR(VLOOKUP($B40,Table_1e!$A$5:$H$146,COLUMN(F$1)-3,FALSE),"")</f>
        <v>0</v>
      </c>
      <c r="G40" s="66">
        <f>IFERROR(VLOOKUP($B40,Table_1e!$A$5:$H$146,COLUMN(G$1)-3,FALSE),"")</f>
        <v>0</v>
      </c>
      <c r="H40" s="66">
        <f>IFERROR(VLOOKUP($B40,Table_1e!$A$5:$H$146,COLUMN(H$1)-3,FALSE),"")</f>
        <v>0</v>
      </c>
      <c r="I40" s="66">
        <f>IFERROR(VLOOKUP($B40,Table_1e!$A$5:$H$146,COLUMN(I$1)-3,FALSE),"")</f>
        <v>0</v>
      </c>
      <c r="J40" s="66">
        <f>IFERROR(VLOOKUP($B40,Table_1e!$A$5:$H$146,COLUMN(J$1)-3,FALSE),"")</f>
        <v>0</v>
      </c>
      <c r="K40" s="67">
        <f>IFERROR(VLOOKUP($B40,Table_1e!$A$5:$H$146,COLUMN(K$1)-3,FALSE),"")</f>
        <v>0</v>
      </c>
    </row>
    <row r="41" spans="1:11">
      <c r="A41" s="43" t="str">
        <f>LEFT(Table_1e!$A$1,8)</f>
        <v>Table 1e</v>
      </c>
      <c r="B41" t="str">
        <f>Table_1e!A11</f>
        <v>January 2021 to December 2021 [Note 1]</v>
      </c>
      <c r="C41" s="62" t="str">
        <f t="shared" ref="C41" si="5">IF(ISNUMBER(SEARCH("2015",B41)),"2015",IF(ISNUMBER(SEARCH("2016",B41)),"2016",IF(ISNUMBER(SEARCH("2017",B41)),"2017",IF(ISNUMBER(SEARCH("2018",B41)),"2018",IF(ISNUMBER(SEARCH("2019",B41)),"2019",IF(ISNUMBER(SEARCH("2020",B41)),"2020",IF(ISNUMBER(SEARCH("2021",B41)),"2021",IF(ISNUMBER(SEARCH("2022",B41)),"2022",IF(ISNUMBER(SEARCH("2023",B41)),"2023",IF(ISNUMBER(SEARCH("2024",B41)),"2024",IF(ISNUMBER(SEARCH("2025",B41)),"2025","")))))))))))</f>
        <v>2021</v>
      </c>
      <c r="D41" s="62" t="s">
        <v>188</v>
      </c>
      <c r="E41" s="66">
        <f>IFERROR(VLOOKUP($B41,Table_1e!$A$5:$H$146,COLUMN(E$1)-3,FALSE),"")</f>
        <v>113</v>
      </c>
      <c r="F41" s="66">
        <f>IFERROR(VLOOKUP($B41,Table_1e!$A$5:$H$146,COLUMN(F$1)-3,FALSE),"")</f>
        <v>0</v>
      </c>
      <c r="G41" s="66">
        <f>IFERROR(VLOOKUP($B41,Table_1e!$A$5:$H$146,COLUMN(G$1)-3,FALSE),"")</f>
        <v>0</v>
      </c>
      <c r="H41" s="66">
        <f>IFERROR(VLOOKUP($B41,Table_1e!$A$5:$H$146,COLUMN(H$1)-3,FALSE),"")</f>
        <v>0</v>
      </c>
      <c r="I41" s="66">
        <f>IFERROR(VLOOKUP($B41,Table_1e!$A$5:$H$146,COLUMN(I$1)-3,FALSE),"")</f>
        <v>0</v>
      </c>
      <c r="J41" s="66">
        <f>IFERROR(VLOOKUP($B41,Table_1e!$A$5:$H$146,COLUMN(J$1)-3,FALSE),"")</f>
        <v>0</v>
      </c>
      <c r="K41" s="67">
        <f>IFERROR(VLOOKUP($B41,Table_1e!$A$5:$H$146,COLUMN(K$1)-3,FALSE),"")</f>
        <v>0</v>
      </c>
    </row>
    <row r="42" spans="1:11" ht="15" thickBot="1">
      <c r="A42" s="43" t="str">
        <f>LEFT(Table_1e!$A$1,8)</f>
        <v>Table 1e</v>
      </c>
      <c r="B42" t="str">
        <f>Table_1e!A12</f>
        <v>January 2022 to December 2022 [Note 1]</v>
      </c>
      <c r="C42" s="114" t="str">
        <f>IF(ISNUMBER(SEARCH("2015",B42)),"2015",IF(ISNUMBER(SEARCH("2016",B42)),"2016",IF(ISNUMBER(SEARCH("2017",B42)),"2017",IF(ISNUMBER(SEARCH("2018",B42)),"2018",IF(ISNUMBER(SEARCH("2019",B42)),"2019",IF(ISNUMBER(SEARCH("2020",B42)),"2020",IF(ISNUMBER(SEARCH("2021",B42)),"2021",IF(ISNUMBER(SEARCH("2022",B42)),"2022",IF(ISNUMBER(SEARCH("2023",B42)),"2023",IF(ISNUMBER(SEARCH("2024",B42)),"2024",IF(ISNUMBER(SEARCH("2025",B42)),"2025","")))))))))))</f>
        <v>2022</v>
      </c>
      <c r="D42" s="62" t="s">
        <v>188</v>
      </c>
      <c r="E42" s="66">
        <f>IFERROR(VLOOKUP($B42,Table_1e!$A$5:$H$146,COLUMN(E$1)-3,FALSE),"")</f>
        <v>100</v>
      </c>
      <c r="F42" s="66">
        <f>IFERROR(VLOOKUP($B42,Table_1e!$A$5:$H$146,COLUMN(F$1)-3,FALSE),"")</f>
        <v>0</v>
      </c>
      <c r="G42" s="66">
        <f>IFERROR(VLOOKUP($B42,Table_1e!$A$5:$H$146,COLUMN(G$1)-3,FALSE),"")</f>
        <v>0</v>
      </c>
      <c r="H42" s="66">
        <f>IFERROR(VLOOKUP($B42,Table_1e!$A$5:$H$146,COLUMN(H$1)-3,FALSE),"")</f>
        <v>0</v>
      </c>
      <c r="I42" s="66">
        <f>IFERROR(VLOOKUP($B42,Table_1e!$A$5:$H$146,COLUMN(I$1)-3,FALSE),"")</f>
        <v>0</v>
      </c>
      <c r="J42" s="66">
        <f>IFERROR(VLOOKUP($B42,Table_1e!$A$5:$H$146,COLUMN(J$1)-3,FALSE),"")</f>
        <v>0</v>
      </c>
      <c r="K42" s="67">
        <f>IFERROR(VLOOKUP($B42,Table_1e!$A$5:$H$146,COLUMN(K$1)-3,FALSE),"")</f>
        <v>0</v>
      </c>
    </row>
    <row r="43" spans="1:11">
      <c r="A43" s="41" t="str">
        <f>LEFT(Table_1f!$A$1,8)</f>
        <v>Table 1f</v>
      </c>
      <c r="B43" s="42" t="str">
        <f>Table_1f!A5</f>
        <v>January 2015 to December 2015</v>
      </c>
      <c r="C43" s="63" t="str">
        <f t="shared" si="0"/>
        <v>2015</v>
      </c>
      <c r="D43" s="63" t="s">
        <v>189</v>
      </c>
      <c r="E43" s="64">
        <f>IFERROR(VLOOKUP($B43,Table_1f!$A$5:$H$161,COLUMN(E$1)-3,FALSE),"")</f>
        <v>158</v>
      </c>
      <c r="F43" s="64">
        <f>IFERROR(VLOOKUP($B43,Table_1f!$A$5:$H$161,COLUMN(F$1)-3,FALSE),"")</f>
        <v>0</v>
      </c>
      <c r="G43" s="64">
        <f>IFERROR(VLOOKUP($B43,Table_1f!$A$5:$H$161,COLUMN(G$1)-3,FALSE),"")</f>
        <v>0</v>
      </c>
      <c r="H43" s="64">
        <f>IFERROR(VLOOKUP($B43,Table_1f!$A$5:$H$161,COLUMN(H$1)-3,FALSE),"")</f>
        <v>0</v>
      </c>
      <c r="I43" s="64">
        <f>IFERROR(VLOOKUP($B43,Table_1f!$A$5:$H$161,COLUMN(I$1)-3,FALSE),"")</f>
        <v>0</v>
      </c>
      <c r="J43" s="64">
        <f>IFERROR(VLOOKUP($B43,Table_1f!$A$5:$H$161,COLUMN(J$1)-3,FALSE),"")</f>
        <v>0</v>
      </c>
      <c r="K43" s="65">
        <f>IFERROR(VLOOKUP($B43,Table_1f!$A$5:$H$161,COLUMN(K$1)-3,FALSE),"")</f>
        <v>0</v>
      </c>
    </row>
    <row r="44" spans="1:11">
      <c r="A44" s="43" t="str">
        <f>LEFT(Table_1f!$A$1,8)</f>
        <v>Table 1f</v>
      </c>
      <c r="B44" t="str">
        <f>Table_1f!A6</f>
        <v>January 2016 to December 2016</v>
      </c>
      <c r="C44" s="62" t="str">
        <f t="shared" si="0"/>
        <v>2016</v>
      </c>
      <c r="D44" s="62" t="s">
        <v>189</v>
      </c>
      <c r="E44" s="66">
        <f>IFERROR(VLOOKUP($B44,Table_1f!$A$5:$H$161,COLUMN(E$1)-3,FALSE),"")</f>
        <v>154</v>
      </c>
      <c r="F44" s="66">
        <f>IFERROR(VLOOKUP($B44,Table_1f!$A$5:$H$161,COLUMN(F$1)-3,FALSE),"")</f>
        <v>0</v>
      </c>
      <c r="G44" s="66">
        <f>IFERROR(VLOOKUP($B44,Table_1f!$A$5:$H$161,COLUMN(G$1)-3,FALSE),"")</f>
        <v>0</v>
      </c>
      <c r="H44" s="66">
        <f>IFERROR(VLOOKUP($B44,Table_1f!$A$5:$H$161,COLUMN(H$1)-3,FALSE),"")</f>
        <v>0</v>
      </c>
      <c r="I44" s="66">
        <f>IFERROR(VLOOKUP($B44,Table_1f!$A$5:$H$161,COLUMN(I$1)-3,FALSE),"")</f>
        <v>0</v>
      </c>
      <c r="J44" s="66">
        <f>IFERROR(VLOOKUP($B44,Table_1f!$A$5:$H$161,COLUMN(J$1)-3,FALSE),"")</f>
        <v>0</v>
      </c>
      <c r="K44" s="67">
        <f>IFERROR(VLOOKUP($B44,Table_1f!$A$5:$H$161,COLUMN(K$1)-3,FALSE),"")</f>
        <v>0</v>
      </c>
    </row>
    <row r="45" spans="1:11">
      <c r="A45" s="43" t="str">
        <f>LEFT(Table_1f!$A$1,8)</f>
        <v>Table 1f</v>
      </c>
      <c r="B45" t="str">
        <f>Table_1f!A7</f>
        <v>January 2017 to December 2017</v>
      </c>
      <c r="C45" s="62" t="str">
        <f t="shared" si="0"/>
        <v>2017</v>
      </c>
      <c r="D45" s="62" t="s">
        <v>189</v>
      </c>
      <c r="E45" s="66">
        <f>IFERROR(VLOOKUP($B45,Table_1f!$A$5:$H$161,COLUMN(E$1)-3,FALSE),"")</f>
        <v>153</v>
      </c>
      <c r="F45" s="66">
        <f>IFERROR(VLOOKUP($B45,Table_1f!$A$5:$H$161,COLUMN(F$1)-3,FALSE),"")</f>
        <v>0</v>
      </c>
      <c r="G45" s="66">
        <f>IFERROR(VLOOKUP($B45,Table_1f!$A$5:$H$161,COLUMN(G$1)-3,FALSE),"")</f>
        <v>0</v>
      </c>
      <c r="H45" s="66">
        <f>IFERROR(VLOOKUP($B45,Table_1f!$A$5:$H$161,COLUMN(H$1)-3,FALSE),"")</f>
        <v>0</v>
      </c>
      <c r="I45" s="66">
        <f>IFERROR(VLOOKUP($B45,Table_1f!$A$5:$H$161,COLUMN(I$1)-3,FALSE),"")</f>
        <v>0</v>
      </c>
      <c r="J45" s="66">
        <f>IFERROR(VLOOKUP($B45,Table_1f!$A$5:$H$161,COLUMN(J$1)-3,FALSE),"")</f>
        <v>0</v>
      </c>
      <c r="K45" s="67">
        <f>IFERROR(VLOOKUP($B45,Table_1f!$A$5:$H$161,COLUMN(K$1)-3,FALSE),"")</f>
        <v>0</v>
      </c>
    </row>
    <row r="46" spans="1:11">
      <c r="A46" s="43" t="str">
        <f>LEFT(Table_1f!$A$1,8)</f>
        <v>Table 1f</v>
      </c>
      <c r="B46" t="str">
        <f>Table_1f!A8</f>
        <v>January 2018 to December 2018</v>
      </c>
      <c r="C46" s="62" t="str">
        <f t="shared" si="0"/>
        <v>2018</v>
      </c>
      <c r="D46" s="62" t="s">
        <v>189</v>
      </c>
      <c r="E46" s="66">
        <f>IFERROR(VLOOKUP($B46,Table_1f!$A$5:$H$161,COLUMN(E$1)-3,FALSE),"")</f>
        <v>148</v>
      </c>
      <c r="F46" s="66">
        <f>IFERROR(VLOOKUP($B46,Table_1f!$A$5:$H$161,COLUMN(F$1)-3,FALSE),"")</f>
        <v>0</v>
      </c>
      <c r="G46" s="66">
        <f>IFERROR(VLOOKUP($B46,Table_1f!$A$5:$H$161,COLUMN(G$1)-3,FALSE),"")</f>
        <v>0</v>
      </c>
      <c r="H46" s="66">
        <f>IFERROR(VLOOKUP($B46,Table_1f!$A$5:$H$161,COLUMN(H$1)-3,FALSE),"")</f>
        <v>0</v>
      </c>
      <c r="I46" s="66">
        <f>IFERROR(VLOOKUP($B46,Table_1f!$A$5:$H$161,COLUMN(I$1)-3,FALSE),"")</f>
        <v>0</v>
      </c>
      <c r="J46" s="66">
        <f>IFERROR(VLOOKUP($B46,Table_1f!$A$5:$H$161,COLUMN(J$1)-3,FALSE),"")</f>
        <v>0</v>
      </c>
      <c r="K46" s="67">
        <f>IFERROR(VLOOKUP($B46,Table_1f!$A$5:$H$161,COLUMN(K$1)-3,FALSE),"")</f>
        <v>0</v>
      </c>
    </row>
    <row r="47" spans="1:11">
      <c r="A47" s="43" t="str">
        <f>LEFT(Table_1f!$A$1,8)</f>
        <v>Table 1f</v>
      </c>
      <c r="B47" t="str">
        <f>Table_1f!A9</f>
        <v>January 2019 to December 2019</v>
      </c>
      <c r="C47" s="62" t="str">
        <f t="shared" si="0"/>
        <v>2019</v>
      </c>
      <c r="D47" s="62" t="s">
        <v>189</v>
      </c>
      <c r="E47" s="66">
        <f>IFERROR(VLOOKUP($B47,Table_1f!$A$5:$H$161,COLUMN(E$1)-3,FALSE),"")</f>
        <v>156</v>
      </c>
      <c r="F47" s="66">
        <f>IFERROR(VLOOKUP($B47,Table_1f!$A$5:$H$161,COLUMN(F$1)-3,FALSE),"")</f>
        <v>0</v>
      </c>
      <c r="G47" s="66">
        <f>IFERROR(VLOOKUP($B47,Table_1f!$A$5:$H$161,COLUMN(G$1)-3,FALSE),"")</f>
        <v>0</v>
      </c>
      <c r="H47" s="66">
        <f>IFERROR(VLOOKUP($B47,Table_1f!$A$5:$H$161,COLUMN(H$1)-3,FALSE),"")</f>
        <v>0</v>
      </c>
      <c r="I47" s="66">
        <f>IFERROR(VLOOKUP($B47,Table_1f!$A$5:$H$161,COLUMN(I$1)-3,FALSE),"")</f>
        <v>0</v>
      </c>
      <c r="J47" s="66">
        <f>IFERROR(VLOOKUP($B47,Table_1f!$A$5:$H$161,COLUMN(J$1)-3,FALSE),"")</f>
        <v>0</v>
      </c>
      <c r="K47" s="67">
        <f>IFERROR(VLOOKUP($B47,Table_1f!$A$5:$H$161,COLUMN(K$1)-3,FALSE),"")</f>
        <v>0</v>
      </c>
    </row>
    <row r="48" spans="1:11">
      <c r="A48" s="43" t="str">
        <f>LEFT(Table_1f!$A$1,8)</f>
        <v>Table 1f</v>
      </c>
      <c r="B48" t="str">
        <f>Table_1f!A10</f>
        <v>January 2020 to December 2020 [Note 1]</v>
      </c>
      <c r="C48" s="62" t="str">
        <f t="shared" si="0"/>
        <v>2020</v>
      </c>
      <c r="D48" s="62" t="s">
        <v>189</v>
      </c>
      <c r="E48" s="66">
        <f>IFERROR(VLOOKUP($B48,Table_1f!$A$5:$H$161,COLUMN(E$1)-3,FALSE),"")</f>
        <v>102</v>
      </c>
      <c r="F48" s="66">
        <f>IFERROR(VLOOKUP($B48,Table_1f!$A$5:$H$161,COLUMN(F$1)-3,FALSE),"")</f>
        <v>0</v>
      </c>
      <c r="G48" s="66">
        <f>IFERROR(VLOOKUP($B48,Table_1f!$A$5:$H$161,COLUMN(G$1)-3,FALSE),"")</f>
        <v>0</v>
      </c>
      <c r="H48" s="66">
        <f>IFERROR(VLOOKUP($B48,Table_1f!$A$5:$H$161,COLUMN(H$1)-3,FALSE),"")</f>
        <v>0</v>
      </c>
      <c r="I48" s="66">
        <f>IFERROR(VLOOKUP($B48,Table_1f!$A$5:$H$161,COLUMN(I$1)-3,FALSE),"")</f>
        <v>0</v>
      </c>
      <c r="J48" s="66">
        <f>IFERROR(VLOOKUP($B48,Table_1f!$A$5:$H$161,COLUMN(J$1)-3,FALSE),"")</f>
        <v>0</v>
      </c>
      <c r="K48" s="67">
        <f>IFERROR(VLOOKUP($B48,Table_1f!$A$5:$H$161,COLUMN(K$1)-3,FALSE),"")</f>
        <v>0</v>
      </c>
    </row>
    <row r="49" spans="1:11">
      <c r="A49" s="43" t="str">
        <f>LEFT(Table_1f!$A$1,8)</f>
        <v>Table 1f</v>
      </c>
      <c r="B49" t="str">
        <f>Table_1f!A11</f>
        <v>January 2021 to December 2021 [Note 1]</v>
      </c>
      <c r="C49" s="62" t="str">
        <f t="shared" ref="C49" si="6">IF(ISNUMBER(SEARCH("2015",B49)),"2015",IF(ISNUMBER(SEARCH("2016",B49)),"2016",IF(ISNUMBER(SEARCH("2017",B49)),"2017",IF(ISNUMBER(SEARCH("2018",B49)),"2018",IF(ISNUMBER(SEARCH("2019",B49)),"2019",IF(ISNUMBER(SEARCH("2020",B49)),"2020",IF(ISNUMBER(SEARCH("2021",B49)),"2021",IF(ISNUMBER(SEARCH("2022",B49)),"2022",IF(ISNUMBER(SEARCH("2023",B49)),"2023",IF(ISNUMBER(SEARCH("2024",B49)),"2024",IF(ISNUMBER(SEARCH("2025",B49)),"2025","")))))))))))</f>
        <v>2021</v>
      </c>
      <c r="D49" s="62" t="s">
        <v>189</v>
      </c>
      <c r="E49" s="66">
        <f>IFERROR(VLOOKUP($B49,Table_1f!$A$5:$H$161,COLUMN(E$1)-3,FALSE),"")</f>
        <v>143</v>
      </c>
      <c r="F49" s="66">
        <f>IFERROR(VLOOKUP($B49,Table_1f!$A$5:$H$161,COLUMN(F$1)-3,FALSE),"")</f>
        <v>0</v>
      </c>
      <c r="G49" s="66">
        <f>IFERROR(VLOOKUP($B49,Table_1f!$A$5:$H$161,COLUMN(G$1)-3,FALSE),"")</f>
        <v>0</v>
      </c>
      <c r="H49" s="66">
        <f>IFERROR(VLOOKUP($B49,Table_1f!$A$5:$H$161,COLUMN(H$1)-3,FALSE),"")</f>
        <v>0</v>
      </c>
      <c r="I49" s="66">
        <f>IFERROR(VLOOKUP($B49,Table_1f!$A$5:$H$161,COLUMN(I$1)-3,FALSE),"")</f>
        <v>0</v>
      </c>
      <c r="J49" s="66">
        <f>IFERROR(VLOOKUP($B49,Table_1f!$A$5:$H$161,COLUMN(J$1)-3,FALSE),"")</f>
        <v>0</v>
      </c>
      <c r="K49" s="67">
        <f>IFERROR(VLOOKUP($B49,Table_1f!$A$5:$H$161,COLUMN(K$1)-3,FALSE),"")</f>
        <v>0</v>
      </c>
    </row>
    <row r="50" spans="1:11" ht="15" thickBot="1">
      <c r="A50" s="43" t="str">
        <f>LEFT(Table_1f!$A$1,8)</f>
        <v>Table 1f</v>
      </c>
      <c r="B50" t="str">
        <f>Table_1f!A12</f>
        <v>January 2022 to December 2022 [Note 1]</v>
      </c>
      <c r="C50" s="62" t="str">
        <f t="shared" ref="C50" si="7">IF(ISNUMBER(SEARCH("2015",B50)),"2015",IF(ISNUMBER(SEARCH("2016",B50)),"2016",IF(ISNUMBER(SEARCH("2017",B50)),"2017",IF(ISNUMBER(SEARCH("2018",B50)),"2018",IF(ISNUMBER(SEARCH("2019",B50)),"2019",IF(ISNUMBER(SEARCH("2020",B50)),"2020",IF(ISNUMBER(SEARCH("2021",B50)),"2021",IF(ISNUMBER(SEARCH("2022",B50)),"2022",IF(ISNUMBER(SEARCH("2023",B50)),"2023",IF(ISNUMBER(SEARCH("2024",B50)),"2024",IF(ISNUMBER(SEARCH("2025",B50)),"2025","")))))))))))</f>
        <v>2022</v>
      </c>
      <c r="D50" s="62" t="s">
        <v>189</v>
      </c>
      <c r="E50" s="66">
        <f>IFERROR(VLOOKUP($B50,Table_1f!$A$5:$H$161,COLUMN(E$1)-3,FALSE),"")</f>
        <v>136</v>
      </c>
      <c r="F50" s="66">
        <f>IFERROR(VLOOKUP($B50,Table_1f!$A$5:$H$161,COLUMN(F$1)-3,FALSE),"")</f>
        <v>0</v>
      </c>
      <c r="G50" s="66">
        <f>IFERROR(VLOOKUP($B50,Table_1f!$A$5:$H$161,COLUMN(G$1)-3,FALSE),"")</f>
        <v>0</v>
      </c>
      <c r="H50" s="66">
        <f>IFERROR(VLOOKUP($B50,Table_1f!$A$5:$H$161,COLUMN(H$1)-3,FALSE),"")</f>
        <v>0</v>
      </c>
      <c r="I50" s="66">
        <f>IFERROR(VLOOKUP($B50,Table_1f!$A$5:$H$161,COLUMN(I$1)-3,FALSE),"")</f>
        <v>0</v>
      </c>
      <c r="J50" s="66">
        <f>IFERROR(VLOOKUP($B50,Table_1f!$A$5:$H$161,COLUMN(J$1)-3,FALSE),"")</f>
        <v>0</v>
      </c>
      <c r="K50" s="67">
        <f>IFERROR(VLOOKUP($B50,Table_1f!$A$5:$H$161,COLUMN(K$1)-3,FALSE),"")</f>
        <v>0</v>
      </c>
    </row>
    <row r="51" spans="1:11">
      <c r="A51" s="41" t="str">
        <f>LEFT(Table_1g!$A$1,8)</f>
        <v>Table 1g</v>
      </c>
      <c r="B51" s="42" t="str">
        <f>Table_1g!A5</f>
        <v>January 2015 to December 2015</v>
      </c>
      <c r="C51" s="63" t="str">
        <f t="shared" ref="C51:C60" si="8">IF(ISNUMBER(SEARCH("2015",B51)),"2015",IF(ISNUMBER(SEARCH("2016",B51)),"2016",IF(ISNUMBER(SEARCH("2017",B51)),"2017",IF(ISNUMBER(SEARCH("2018",B51)),"2018",IF(ISNUMBER(SEARCH("2019",B51)),"2019",IF(ISNUMBER(SEARCH("2020",B51)),"2020",IF(ISNUMBER(SEARCH("2021",B51)),"2021",IF(ISNUMBER(SEARCH("2022",B51)),"2022",IF(ISNUMBER(SEARCH("2023",B51)),"2023",IF(ISNUMBER(SEARCH("2024",B51)),"2024",IF(ISNUMBER(SEARCH("2025",B51)),"2025","")))))))))))</f>
        <v>2015</v>
      </c>
      <c r="D51" s="63" t="s">
        <v>190</v>
      </c>
      <c r="E51" s="64">
        <f>IFERROR(VLOOKUP($B51,Table_1g!$A$5:$H$361,COLUMN(E$1)-3,FALSE),"")</f>
        <v>0</v>
      </c>
      <c r="F51" s="64">
        <f>IFERROR(VLOOKUP($B51,Table_1g!$A$5:$H$361,COLUMN(F$1)-3,FALSE),"")</f>
        <v>0</v>
      </c>
      <c r="G51" s="64">
        <f>IFERROR(VLOOKUP($B51,Table_1g!$A$5:$H$361,COLUMN(G$1)-3,FALSE),"")</f>
        <v>0</v>
      </c>
      <c r="H51" s="64">
        <f>IFERROR(VLOOKUP($B51,Table_1g!$A$5:$H$361,COLUMN(H$1)-3,FALSE),"")</f>
        <v>0</v>
      </c>
      <c r="I51" s="64">
        <f>IFERROR(VLOOKUP($B51,Table_1g!$A$5:$H$361,COLUMN(I$1)-3,FALSE),"")</f>
        <v>0</v>
      </c>
      <c r="J51" s="64">
        <f>IFERROR(VLOOKUP($B51,Table_1g!$A$5:$H$361,COLUMN(J$1)-3,FALSE),"")</f>
        <v>0</v>
      </c>
      <c r="K51" s="65">
        <f>IFERROR(VLOOKUP($B51,Table_1g!$A$5:$H$361,COLUMN(K$1)-3,FALSE),"")</f>
        <v>0</v>
      </c>
    </row>
    <row r="52" spans="1:11">
      <c r="A52" s="43" t="str">
        <f>LEFT(Table_1g!$A$1,8)</f>
        <v>Table 1g</v>
      </c>
      <c r="B52" t="str">
        <f>Table_1g!A6</f>
        <v>January 2016 to December 2016</v>
      </c>
      <c r="C52" s="62" t="str">
        <f t="shared" si="8"/>
        <v>2016</v>
      </c>
      <c r="D52" s="62" t="s">
        <v>190</v>
      </c>
      <c r="E52" s="66">
        <f>IFERROR(VLOOKUP($B52,Table_1g!$A$5:$H$361,COLUMN(E$1)-3,FALSE),"")</f>
        <v>0</v>
      </c>
      <c r="F52" s="66">
        <f>IFERROR(VLOOKUP($B52,Table_1g!$A$5:$H$361,COLUMN(F$1)-3,FALSE),"")</f>
        <v>0</v>
      </c>
      <c r="G52" s="66">
        <f>IFERROR(VLOOKUP($B52,Table_1g!$A$5:$H$361,COLUMN(G$1)-3,FALSE),"")</f>
        <v>0</v>
      </c>
      <c r="H52" s="66">
        <f>IFERROR(VLOOKUP($B52,Table_1g!$A$5:$H$361,COLUMN(H$1)-3,FALSE),"")</f>
        <v>0</v>
      </c>
      <c r="I52" s="66">
        <f>IFERROR(VLOOKUP($B52,Table_1g!$A$5:$H$361,COLUMN(I$1)-3,FALSE),"")</f>
        <v>0</v>
      </c>
      <c r="J52" s="66">
        <f>IFERROR(VLOOKUP($B52,Table_1g!$A$5:$H$361,COLUMN(J$1)-3,FALSE),"")</f>
        <v>0</v>
      </c>
      <c r="K52" s="67">
        <f>IFERROR(VLOOKUP($B52,Table_1g!$A$5:$H$361,COLUMN(K$1)-3,FALSE),"")</f>
        <v>0</v>
      </c>
    </row>
    <row r="53" spans="1:11">
      <c r="A53" s="43" t="str">
        <f>LEFT(Table_1g!$A$1,8)</f>
        <v>Table 1g</v>
      </c>
      <c r="B53" t="str">
        <f>Table_1g!A7</f>
        <v>January 2017 to December 2017</v>
      </c>
      <c r="C53" s="62" t="str">
        <f t="shared" si="8"/>
        <v>2017</v>
      </c>
      <c r="D53" s="62" t="s">
        <v>190</v>
      </c>
      <c r="E53" s="66">
        <f>IFERROR(VLOOKUP($B53,Table_1g!$A$5:$H$361,COLUMN(E$1)-3,FALSE),"")</f>
        <v>0</v>
      </c>
      <c r="F53" s="66">
        <f>IFERROR(VLOOKUP($B53,Table_1g!$A$5:$H$361,COLUMN(F$1)-3,FALSE),"")</f>
        <v>0</v>
      </c>
      <c r="G53" s="66">
        <f>IFERROR(VLOOKUP($B53,Table_1g!$A$5:$H$361,COLUMN(G$1)-3,FALSE),"")</f>
        <v>0</v>
      </c>
      <c r="H53" s="66">
        <f>IFERROR(VLOOKUP($B53,Table_1g!$A$5:$H$361,COLUMN(H$1)-3,FALSE),"")</f>
        <v>0</v>
      </c>
      <c r="I53" s="66">
        <f>IFERROR(VLOOKUP($B53,Table_1g!$A$5:$H$361,COLUMN(I$1)-3,FALSE),"")</f>
        <v>0</v>
      </c>
      <c r="J53" s="66">
        <f>IFERROR(VLOOKUP($B53,Table_1g!$A$5:$H$361,COLUMN(J$1)-3,FALSE),"")</f>
        <v>0</v>
      </c>
      <c r="K53" s="67">
        <f>IFERROR(VLOOKUP($B53,Table_1g!$A$5:$H$361,COLUMN(K$1)-3,FALSE),"")</f>
        <v>0</v>
      </c>
    </row>
    <row r="54" spans="1:11">
      <c r="A54" s="43" t="str">
        <f>LEFT(Table_1g!$A$1,8)</f>
        <v>Table 1g</v>
      </c>
      <c r="B54" t="str">
        <f>Table_1g!A8</f>
        <v>January 2018 to December 2018</v>
      </c>
      <c r="C54" s="62" t="str">
        <f t="shared" si="8"/>
        <v>2018</v>
      </c>
      <c r="D54" s="62" t="s">
        <v>190</v>
      </c>
      <c r="E54" s="66">
        <f>IFERROR(VLOOKUP($B54,Table_1g!$A$5:$H$361,COLUMN(E$1)-3,FALSE),"")</f>
        <v>0</v>
      </c>
      <c r="F54" s="66">
        <f>IFERROR(VLOOKUP($B54,Table_1g!$A$5:$H$361,COLUMN(F$1)-3,FALSE),"")</f>
        <v>0</v>
      </c>
      <c r="G54" s="66">
        <f>IFERROR(VLOOKUP($B54,Table_1g!$A$5:$H$361,COLUMN(G$1)-3,FALSE),"")</f>
        <v>0</v>
      </c>
      <c r="H54" s="66">
        <f>IFERROR(VLOOKUP($B54,Table_1g!$A$5:$H$361,COLUMN(H$1)-3,FALSE),"")</f>
        <v>0</v>
      </c>
      <c r="I54" s="66">
        <f>IFERROR(VLOOKUP($B54,Table_1g!$A$5:$H$361,COLUMN(I$1)-3,FALSE),"")</f>
        <v>0</v>
      </c>
      <c r="J54" s="66">
        <f>IFERROR(VLOOKUP($B54,Table_1g!$A$5:$H$361,COLUMN(J$1)-3,FALSE),"")</f>
        <v>0</v>
      </c>
      <c r="K54" s="67">
        <f>IFERROR(VLOOKUP($B54,Table_1g!$A$5:$H$361,COLUMN(K$1)-3,FALSE),"")</f>
        <v>0</v>
      </c>
    </row>
    <row r="55" spans="1:11">
      <c r="A55" s="43" t="str">
        <f>LEFT(Table_1g!$A$1,8)</f>
        <v>Table 1g</v>
      </c>
      <c r="B55" t="str">
        <f>Table_1g!A9</f>
        <v>January 2019 to December 2019</v>
      </c>
      <c r="C55" s="62" t="str">
        <f t="shared" si="8"/>
        <v>2019</v>
      </c>
      <c r="D55" s="62" t="s">
        <v>190</v>
      </c>
      <c r="E55" s="66">
        <f>IFERROR(VLOOKUP($B55,Table_1g!$A$5:$H$361,COLUMN(E$1)-3,FALSE),"")</f>
        <v>0</v>
      </c>
      <c r="F55" s="66">
        <f>IFERROR(VLOOKUP($B55,Table_1g!$A$5:$H$361,COLUMN(F$1)-3,FALSE),"")</f>
        <v>0</v>
      </c>
      <c r="G55" s="66">
        <f>IFERROR(VLOOKUP($B55,Table_1g!$A$5:$H$361,COLUMN(G$1)-3,FALSE),"")</f>
        <v>0</v>
      </c>
      <c r="H55" s="66">
        <f>IFERROR(VLOOKUP($B55,Table_1g!$A$5:$H$361,COLUMN(H$1)-3,FALSE),"")</f>
        <v>0</v>
      </c>
      <c r="I55" s="66">
        <f>IFERROR(VLOOKUP($B55,Table_1g!$A$5:$H$361,COLUMN(I$1)-3,FALSE),"")</f>
        <v>0</v>
      </c>
      <c r="J55" s="66">
        <f>IFERROR(VLOOKUP($B55,Table_1g!$A$5:$H$361,COLUMN(J$1)-3,FALSE),"")</f>
        <v>0</v>
      </c>
      <c r="K55" s="67">
        <f>IFERROR(VLOOKUP($B55,Table_1g!$A$5:$H$361,COLUMN(K$1)-3,FALSE),"")</f>
        <v>0</v>
      </c>
    </row>
    <row r="56" spans="1:11">
      <c r="A56" s="43" t="str">
        <f>LEFT(Table_1g!$A$1,8)</f>
        <v>Table 1g</v>
      </c>
      <c r="B56" t="str">
        <f>Table_1g!A10</f>
        <v>January 2020 to December 2020</v>
      </c>
      <c r="C56" s="62" t="str">
        <f t="shared" si="8"/>
        <v>2020</v>
      </c>
      <c r="D56" s="62" t="s">
        <v>190</v>
      </c>
      <c r="E56" s="66">
        <f>IFERROR(VLOOKUP($B56,Table_1g!$A$5:$H$361,COLUMN(E$1)-3,FALSE),"")</f>
        <v>0</v>
      </c>
      <c r="F56" s="66">
        <f>IFERROR(VLOOKUP($B56,Table_1g!$A$5:$H$361,COLUMN(F$1)-3,FALSE),"")</f>
        <v>0</v>
      </c>
      <c r="G56" s="66">
        <f>IFERROR(VLOOKUP($B56,Table_1g!$A$5:$H$361,COLUMN(G$1)-3,FALSE),"")</f>
        <v>0</v>
      </c>
      <c r="H56" s="66">
        <f>IFERROR(VLOOKUP($B56,Table_1g!$A$5:$H$361,COLUMN(H$1)-3,FALSE),"")</f>
        <v>0</v>
      </c>
      <c r="I56" s="66">
        <f>IFERROR(VLOOKUP($B56,Table_1g!$A$5:$H$361,COLUMN(I$1)-3,FALSE),"")</f>
        <v>0</v>
      </c>
      <c r="J56" s="66">
        <f>IFERROR(VLOOKUP($B56,Table_1g!$A$5:$H$361,COLUMN(J$1)-3,FALSE),"")</f>
        <v>0</v>
      </c>
      <c r="K56" s="67">
        <f>IFERROR(VLOOKUP($B56,Table_1g!$A$5:$H$361,COLUMN(K$1)-3,FALSE),"")</f>
        <v>0</v>
      </c>
    </row>
    <row r="57" spans="1:11">
      <c r="A57" s="43" t="str">
        <f>LEFT(Table_1g!$A$1,8)</f>
        <v>Table 1g</v>
      </c>
      <c r="B57" t="str">
        <f>Table_1g!A11</f>
        <v>January 2021 to December 2021</v>
      </c>
      <c r="C57" s="62" t="str">
        <f t="shared" ref="C57" si="9">IF(ISNUMBER(SEARCH("2015",B57)),"2015",IF(ISNUMBER(SEARCH("2016",B57)),"2016",IF(ISNUMBER(SEARCH("2017",B57)),"2017",IF(ISNUMBER(SEARCH("2018",B57)),"2018",IF(ISNUMBER(SEARCH("2019",B57)),"2019",IF(ISNUMBER(SEARCH("2020",B57)),"2020",IF(ISNUMBER(SEARCH("2021",B57)),"2021",IF(ISNUMBER(SEARCH("2022",B57)),"2022",IF(ISNUMBER(SEARCH("2023",B57)),"2023",IF(ISNUMBER(SEARCH("2024",B57)),"2024",IF(ISNUMBER(SEARCH("2025",B57)),"2025","")))))))))))</f>
        <v>2021</v>
      </c>
      <c r="D57" s="62" t="s">
        <v>190</v>
      </c>
      <c r="E57" s="66">
        <f>IFERROR(VLOOKUP($B57,Table_1g!$A$5:$H$361,COLUMN(E$1)-3,FALSE),"")</f>
        <v>0</v>
      </c>
      <c r="F57" s="66">
        <f>IFERROR(VLOOKUP($B57,Table_1g!$A$5:$H$361,COLUMN(F$1)-3,FALSE),"")</f>
        <v>0</v>
      </c>
      <c r="G57" s="66">
        <f>IFERROR(VLOOKUP($B57,Table_1g!$A$5:$H$361,COLUMN(G$1)-3,FALSE),"")</f>
        <v>0</v>
      </c>
      <c r="H57" s="66">
        <f>IFERROR(VLOOKUP($B57,Table_1g!$A$5:$H$361,COLUMN(H$1)-3,FALSE),"")</f>
        <v>0</v>
      </c>
      <c r="I57" s="66">
        <f>IFERROR(VLOOKUP($B57,Table_1g!$A$5:$H$361,COLUMN(I$1)-3,FALSE),"")</f>
        <v>0</v>
      </c>
      <c r="J57" s="66">
        <f>IFERROR(VLOOKUP($B57,Table_1g!$A$5:$H$361,COLUMN(J$1)-3,FALSE),"")</f>
        <v>0</v>
      </c>
      <c r="K57" s="67">
        <f>IFERROR(VLOOKUP($B57,Table_1g!$A$5:$H$361,COLUMN(K$1)-3,FALSE),"")</f>
        <v>0</v>
      </c>
    </row>
    <row r="58" spans="1:11" ht="15" thickBot="1">
      <c r="A58" s="43" t="str">
        <f>LEFT(Table_1g!$A$1,8)</f>
        <v>Table 1g</v>
      </c>
      <c r="B58" t="str">
        <f>Table_1g!A12</f>
        <v>January 2022 to December 2022</v>
      </c>
      <c r="C58" s="62" t="str">
        <f t="shared" ref="C58" si="10">IF(ISNUMBER(SEARCH("2015",B58)),"2015",IF(ISNUMBER(SEARCH("2016",B58)),"2016",IF(ISNUMBER(SEARCH("2017",B58)),"2017",IF(ISNUMBER(SEARCH("2018",B58)),"2018",IF(ISNUMBER(SEARCH("2019",B58)),"2019",IF(ISNUMBER(SEARCH("2020",B58)),"2020",IF(ISNUMBER(SEARCH("2021",B58)),"2021",IF(ISNUMBER(SEARCH("2022",B58)),"2022",IF(ISNUMBER(SEARCH("2023",B58)),"2023",IF(ISNUMBER(SEARCH("2024",B58)),"2024",IF(ISNUMBER(SEARCH("2025",B58)),"2025","")))))))))))</f>
        <v>2022</v>
      </c>
      <c r="D58" s="62" t="s">
        <v>190</v>
      </c>
      <c r="E58" s="66">
        <f>IFERROR(VLOOKUP($B58,Table_1g!$A$5:$H$361,COLUMN(E$1)-3,FALSE),"")</f>
        <v>0</v>
      </c>
      <c r="F58" s="66">
        <f>IFERROR(VLOOKUP($B58,Table_1g!$A$5:$H$361,COLUMN(F$1)-3,FALSE),"")</f>
        <v>0</v>
      </c>
      <c r="G58" s="66">
        <f>IFERROR(VLOOKUP($B58,Table_1g!$A$5:$H$361,COLUMN(G$1)-3,FALSE),"")</f>
        <v>0</v>
      </c>
      <c r="H58" s="66">
        <f>IFERROR(VLOOKUP($B58,Table_1g!$A$5:$H$361,COLUMN(H$1)-3,FALSE),"")</f>
        <v>0</v>
      </c>
      <c r="I58" s="66">
        <f>IFERROR(VLOOKUP($B58,Table_1g!$A$5:$H$361,COLUMN(I$1)-3,FALSE),"")</f>
        <v>0</v>
      </c>
      <c r="J58" s="66">
        <f>IFERROR(VLOOKUP($B58,Table_1g!$A$5:$H$361,COLUMN(J$1)-3,FALSE),"")</f>
        <v>0</v>
      </c>
      <c r="K58" s="67">
        <f>IFERROR(VLOOKUP($B58,Table_1g!$A$5:$H$361,COLUMN(K$1)-3,FALSE),"")</f>
        <v>0</v>
      </c>
    </row>
    <row r="59" spans="1:11">
      <c r="A59" s="41" t="str">
        <f>LEFT(Table_1h!$A$1,8)</f>
        <v>Table 1h</v>
      </c>
      <c r="B59" s="42" t="str">
        <f>Table_1h!A5</f>
        <v>January 2019 to December 2019</v>
      </c>
      <c r="C59" s="63" t="str">
        <f t="shared" si="8"/>
        <v>2019</v>
      </c>
      <c r="D59" s="63" t="s">
        <v>191</v>
      </c>
      <c r="E59" s="64">
        <f>IFERROR(VLOOKUP($B59,Table_1h!$A$5:$H$101,COLUMN(E$1)-3,FALSE),"")</f>
        <v>7905</v>
      </c>
      <c r="F59" s="64">
        <f>IFERROR(VLOOKUP($B59,Table_1h!$A$5:$H$101,COLUMN(F$1)-3,FALSE),"")</f>
        <v>1026</v>
      </c>
      <c r="G59" s="64">
        <f>IFERROR(VLOOKUP($B59,Table_1h!$A$5:$H$101,COLUMN(G$1)-3,FALSE),"")</f>
        <v>935</v>
      </c>
      <c r="H59" s="64">
        <f>IFERROR(VLOOKUP($B59,Table_1h!$A$5:$H$101,COLUMN(H$1)-3,FALSE),"")</f>
        <v>1312</v>
      </c>
      <c r="I59" s="64">
        <f>IFERROR(VLOOKUP($B59,Table_1h!$A$5:$H$101,COLUMN(I$1)-3,FALSE),"")</f>
        <v>1259</v>
      </c>
      <c r="J59" s="64">
        <f>IFERROR(VLOOKUP($B59,Table_1h!$A$5:$H$101,COLUMN(J$1)-3,FALSE),"")</f>
        <v>2591</v>
      </c>
      <c r="K59" s="65">
        <f>IFERROR(VLOOKUP($B59,Table_1h!$A$5:$H$101,COLUMN(K$1)-3,FALSE),"")</f>
        <v>782</v>
      </c>
    </row>
    <row r="60" spans="1:11">
      <c r="A60" s="43" t="str">
        <f>LEFT(Table_1h!$A$1,8)</f>
        <v>Table 1h</v>
      </c>
      <c r="B60" t="str">
        <f>Table_1h!A6</f>
        <v>January 2020 to December 2020 [Note 1]</v>
      </c>
      <c r="C60" s="62" t="str">
        <f t="shared" si="8"/>
        <v>2020</v>
      </c>
      <c r="D60" s="62" t="s">
        <v>191</v>
      </c>
      <c r="E60" s="66">
        <f>IFERROR(VLOOKUP($B60,Table_1h!$A$5:$H$101,COLUMN(E$1)-3,FALSE),"")</f>
        <v>5267</v>
      </c>
      <c r="F60" s="66">
        <f>IFERROR(VLOOKUP($B60,Table_1h!$A$5:$H$101,COLUMN(F$1)-3,FALSE),"")</f>
        <v>636</v>
      </c>
      <c r="G60" s="66">
        <f>IFERROR(VLOOKUP($B60,Table_1h!$A$5:$H$101,COLUMN(G$1)-3,FALSE),"")</f>
        <v>605</v>
      </c>
      <c r="H60" s="66">
        <f>IFERROR(VLOOKUP($B60,Table_1h!$A$5:$H$101,COLUMN(H$1)-3,FALSE),"")</f>
        <v>910</v>
      </c>
      <c r="I60" s="66">
        <f>IFERROR(VLOOKUP($B60,Table_1h!$A$5:$H$101,COLUMN(I$1)-3,FALSE),"")</f>
        <v>833</v>
      </c>
      <c r="J60" s="66">
        <f>IFERROR(VLOOKUP($B60,Table_1h!$A$5:$H$101,COLUMN(J$1)-3,FALSE),"")</f>
        <v>1765</v>
      </c>
      <c r="K60" s="67">
        <f>IFERROR(VLOOKUP($B60,Table_1h!$A$5:$H$101,COLUMN(K$1)-3,FALSE),"")</f>
        <v>518</v>
      </c>
    </row>
    <row r="61" spans="1:11">
      <c r="A61" s="43" t="str">
        <f>LEFT(Table_1h!$A$1,8)</f>
        <v>Table 1h</v>
      </c>
      <c r="B61" t="str">
        <f>Table_1h!A7</f>
        <v>January 2021 to December 2021 [Note 1]</v>
      </c>
      <c r="C61" s="62" t="str">
        <f t="shared" ref="C61" si="11">IF(ISNUMBER(SEARCH("2015",B61)),"2015",IF(ISNUMBER(SEARCH("2016",B61)),"2016",IF(ISNUMBER(SEARCH("2017",B61)),"2017",IF(ISNUMBER(SEARCH("2018",B61)),"2018",IF(ISNUMBER(SEARCH("2019",B61)),"2019",IF(ISNUMBER(SEARCH("2020",B61)),"2020",IF(ISNUMBER(SEARCH("2021",B61)),"2021",IF(ISNUMBER(SEARCH("2022",B61)),"2022",IF(ISNUMBER(SEARCH("2023",B61)),"2023",IF(ISNUMBER(SEARCH("2024",B61)),"2024",IF(ISNUMBER(SEARCH("2025",B61)),"2025","")))))))))))</f>
        <v>2021</v>
      </c>
      <c r="D61" s="62" t="s">
        <v>191</v>
      </c>
      <c r="E61" s="66">
        <f>IFERROR(VLOOKUP($B61,Table_1h!$A$5:$H$101,COLUMN(E$1)-3,FALSE),"")</f>
        <v>6539</v>
      </c>
      <c r="F61" s="66">
        <f>IFERROR(VLOOKUP($B61,Table_1h!$A$5:$H$101,COLUMN(F$1)-3,FALSE),"")</f>
        <v>849</v>
      </c>
      <c r="G61" s="66">
        <f>IFERROR(VLOOKUP($B61,Table_1h!$A$5:$H$101,COLUMN(G$1)-3,FALSE),"")</f>
        <v>798</v>
      </c>
      <c r="H61" s="66">
        <f>IFERROR(VLOOKUP($B61,Table_1h!$A$5:$H$101,COLUMN(H$1)-3,FALSE),"")</f>
        <v>1237</v>
      </c>
      <c r="I61" s="66">
        <f>IFERROR(VLOOKUP($B61,Table_1h!$A$5:$H$101,COLUMN(I$1)-3,FALSE),"")</f>
        <v>940</v>
      </c>
      <c r="J61" s="66">
        <f>IFERROR(VLOOKUP($B61,Table_1h!$A$5:$H$101,COLUMN(J$1)-3,FALSE),"")</f>
        <v>2043</v>
      </c>
      <c r="K61" s="67">
        <f>IFERROR(VLOOKUP($B61,Table_1h!$A$5:$H$101,COLUMN(K$1)-3,FALSE),"")</f>
        <v>672</v>
      </c>
    </row>
    <row r="62" spans="1:11" ht="15" thickBot="1">
      <c r="A62" s="43" t="str">
        <f>LEFT(Table_1h!$A$1,8)</f>
        <v>Table 1h</v>
      </c>
      <c r="B62" t="str">
        <f>Table_1h!A8</f>
        <v>January 2022 to December 2022 [Note 1]</v>
      </c>
      <c r="C62" s="62" t="str">
        <f t="shared" ref="C62" si="12">IF(ISNUMBER(SEARCH("2015",B62)),"2015",IF(ISNUMBER(SEARCH("2016",B62)),"2016",IF(ISNUMBER(SEARCH("2017",B62)),"2017",IF(ISNUMBER(SEARCH("2018",B62)),"2018",IF(ISNUMBER(SEARCH("2019",B62)),"2019",IF(ISNUMBER(SEARCH("2020",B62)),"2020",IF(ISNUMBER(SEARCH("2021",B62)),"2021",IF(ISNUMBER(SEARCH("2022",B62)),"2022",IF(ISNUMBER(SEARCH("2023",B62)),"2023",IF(ISNUMBER(SEARCH("2024",B62)),"2024",IF(ISNUMBER(SEARCH("2025",B62)),"2025","")))))))))))</f>
        <v>2022</v>
      </c>
      <c r="D62" s="62" t="s">
        <v>191</v>
      </c>
      <c r="E62" s="66">
        <f>IFERROR(VLOOKUP($B62,Table_1h!$A$5:$H$101,COLUMN(E$1)-3,FALSE),"")</f>
        <v>6771</v>
      </c>
      <c r="F62" s="66">
        <f>IFERROR(VLOOKUP($B62,Table_1h!$A$5:$H$101,COLUMN(F$1)-3,FALSE),"")</f>
        <v>914</v>
      </c>
      <c r="G62" s="66">
        <f>IFERROR(VLOOKUP($B62,Table_1h!$A$5:$H$101,COLUMN(G$1)-3,FALSE),"")</f>
        <v>777</v>
      </c>
      <c r="H62" s="66">
        <f>IFERROR(VLOOKUP($B62,Table_1h!$A$5:$H$101,COLUMN(H$1)-3,FALSE),"")</f>
        <v>1172</v>
      </c>
      <c r="I62" s="66">
        <f>IFERROR(VLOOKUP($B62,Table_1h!$A$5:$H$101,COLUMN(I$1)-3,FALSE),"")</f>
        <v>1032</v>
      </c>
      <c r="J62" s="66">
        <f>IFERROR(VLOOKUP($B62,Table_1h!$A$5:$H$101,COLUMN(J$1)-3,FALSE),"")</f>
        <v>2238</v>
      </c>
      <c r="K62" s="67">
        <f>IFERROR(VLOOKUP($B62,Table_1h!$A$5:$H$101,COLUMN(K$1)-3,FALSE),"")</f>
        <v>638</v>
      </c>
    </row>
    <row r="63" spans="1:11">
      <c r="A63" s="41" t="str">
        <f>LEFT(Table_1i!$A$1,8)</f>
        <v>Table 1i</v>
      </c>
      <c r="B63" s="42" t="str">
        <f>Table_1i!A4</f>
        <v xml:space="preserve">April 2020 to March 2021 </v>
      </c>
      <c r="C63" s="63" t="s">
        <v>192</v>
      </c>
      <c r="D63" s="63" t="s">
        <v>193</v>
      </c>
      <c r="E63" s="68">
        <f>IFERROR(VLOOKUP($B63,Table_1i!$A$4:$H$100,COLUMN(E$1)-3,FALSE),"")</f>
        <v>0.05</v>
      </c>
      <c r="F63" s="68">
        <f>IFERROR(VLOOKUP($B63,Table_1i!$A$4:$H$100,COLUMN(F$1)-3,FALSE),"")</f>
        <v>0.06</v>
      </c>
      <c r="G63" s="68">
        <f>IFERROR(VLOOKUP($B63,Table_1i!$A$4:$H$100,COLUMN(G$1)-3,FALSE),"")</f>
        <v>0</v>
      </c>
      <c r="H63" s="68">
        <f>IFERROR(VLOOKUP($B63,Table_1i!$A$4:$H$100,COLUMN(H$1)-3,FALSE),"")</f>
        <v>0.05</v>
      </c>
      <c r="I63" s="68">
        <f>IFERROR(VLOOKUP($B63,Table_1i!$A$4:$H$100,COLUMN(I$1)-3,FALSE),"")</f>
        <v>0.11</v>
      </c>
      <c r="J63" s="68">
        <f>IFERROR(VLOOKUP($B63,Table_1i!$A$4:$H$100,COLUMN(J$1)-3,FALSE),"")</f>
        <v>0.06</v>
      </c>
      <c r="K63" s="69">
        <f>IFERROR(VLOOKUP($B63,Table_1i!$A$4:$H$100,COLUMN(K$1)-3,FALSE),"")</f>
        <v>0</v>
      </c>
    </row>
    <row r="64" spans="1:11">
      <c r="A64" s="43" t="str">
        <f>LEFT(Table_1i!$A$1,8)</f>
        <v>Table 1i</v>
      </c>
      <c r="B64" t="str">
        <f>Table_1i!A5</f>
        <v>April 2021 to March 2022</v>
      </c>
      <c r="C64" s="62" t="s">
        <v>194</v>
      </c>
      <c r="D64" s="62" t="s">
        <v>193</v>
      </c>
      <c r="E64" s="102">
        <f>IFERROR(VLOOKUP($B64,Table_1i!$A$4:$H$100,COLUMN(E$1)-3,FALSE),"")</f>
        <v>0.05</v>
      </c>
      <c r="F64" s="102">
        <f>IFERROR(VLOOKUP($B64,Table_1i!$A$4:$H$100,COLUMN(F$1)-3,FALSE),"")</f>
        <v>0.06</v>
      </c>
      <c r="G64" s="102">
        <f>IFERROR(VLOOKUP($B64,Table_1i!$A$4:$H$100,COLUMN(G$1)-3,FALSE),"")</f>
        <v>0.14000000000000001</v>
      </c>
      <c r="H64" s="102">
        <f>IFERROR(VLOOKUP($B64,Table_1i!$A$4:$H$100,COLUMN(H$1)-3,FALSE),"")</f>
        <v>0.13</v>
      </c>
      <c r="I64" s="102">
        <f>IFERROR(VLOOKUP($B64,Table_1i!$A$4:$H$100,COLUMN(I$1)-3,FALSE),"")</f>
        <v>0</v>
      </c>
      <c r="J64" s="102">
        <f>IFERROR(VLOOKUP($B64,Table_1i!$A$4:$H$100,COLUMN(J$1)-3,FALSE),"")</f>
        <v>0.05</v>
      </c>
      <c r="K64" s="103">
        <f>IFERROR(VLOOKUP($B64,Table_1i!$A$4:$H$100,COLUMN(K$1)-3,FALSE),"")</f>
        <v>0.06</v>
      </c>
    </row>
    <row r="65" spans="1:11">
      <c r="A65" s="43" t="str">
        <f>LEFT(Table_1i!$A$1,8)</f>
        <v>Table 1i</v>
      </c>
      <c r="B65" t="str">
        <f>Table_1i!A6</f>
        <v>April 2022 to March 2023</v>
      </c>
      <c r="C65" s="62" t="s">
        <v>195</v>
      </c>
      <c r="D65" s="62" t="s">
        <v>193</v>
      </c>
      <c r="E65" s="102">
        <f>IFERROR(VLOOKUP($B65,Table_1i!$A$4:$H$100,COLUMN(E$1)-3,FALSE),"")</f>
        <v>0.03</v>
      </c>
      <c r="F65" s="102">
        <f>IFERROR(VLOOKUP($B65,Table_1i!$A$4:$H$100,COLUMN(F$1)-3,FALSE),"")</f>
        <v>0.1</v>
      </c>
      <c r="G65" s="102">
        <f>IFERROR(VLOOKUP($B65,Table_1i!$A$4:$H$100,COLUMN(G$1)-3,FALSE),"")</f>
        <v>0</v>
      </c>
      <c r="H65" s="102">
        <f>IFERROR(VLOOKUP($B65,Table_1i!$A$4:$H$100,COLUMN(H$1)-3,FALSE),"")</f>
        <v>0.02</v>
      </c>
      <c r="I65" s="102">
        <f>IFERROR(VLOOKUP($B65,Table_1i!$A$4:$H$100,COLUMN(I$1)-3,FALSE),"")</f>
        <v>0</v>
      </c>
      <c r="J65" s="102">
        <f>IFERROR(VLOOKUP($B65,Table_1i!$A$4:$H$100,COLUMN(J$1)-3,FALSE),"")</f>
        <v>0</v>
      </c>
      <c r="K65" s="103">
        <f>IFERROR(VLOOKUP($B65,Table_1i!$A$4:$H$100,COLUMN(K$1)-3,FALSE),"")</f>
        <v>0.06</v>
      </c>
    </row>
    <row r="66" spans="1:11" ht="15" thickBot="1">
      <c r="A66" s="43" t="str">
        <f>LEFT(Table_1i!$A$1,8)</f>
        <v>Table 1i</v>
      </c>
      <c r="B66" t="str">
        <f>Table_1i!A7</f>
        <v>April 2023 to March 2024</v>
      </c>
      <c r="C66" s="62" t="s">
        <v>196</v>
      </c>
      <c r="D66" s="62" t="s">
        <v>193</v>
      </c>
      <c r="E66" s="102">
        <f>IFERROR(VLOOKUP($B66,Table_1i!$A$4:$H$100,COLUMN(E$1)-3,FALSE),"")</f>
        <v>7.0000000000000007E-2</v>
      </c>
      <c r="F66" s="102">
        <f>IFERROR(VLOOKUP($B66,Table_1i!$A$4:$H$100,COLUMN(F$1)-3,FALSE),"")</f>
        <v>0</v>
      </c>
      <c r="G66" s="102">
        <f>IFERROR(VLOOKUP($B66,Table_1i!$A$4:$H$100,COLUMN(G$1)-3,FALSE),"")</f>
        <v>0.06</v>
      </c>
      <c r="H66" s="102">
        <f>IFERROR(VLOOKUP($B66,Table_1i!$A$4:$H$100,COLUMN(H$1)-3,FALSE),"")</f>
        <v>7.0000000000000007E-2</v>
      </c>
      <c r="I66" s="102">
        <f>IFERROR(VLOOKUP($B66,Table_1i!$A$4:$H$100,COLUMN(I$1)-3,FALSE),"")</f>
        <v>0.15</v>
      </c>
      <c r="J66" s="102">
        <f>IFERROR(VLOOKUP($B66,Table_1i!$A$4:$H$100,COLUMN(J$1)-3,FALSE),"")</f>
        <v>0.06</v>
      </c>
      <c r="K66" s="103">
        <f>IFERROR(VLOOKUP($B66,Table_1i!$A$4:$H$100,COLUMN(K$1)-3,FALSE),"")</f>
        <v>0.09</v>
      </c>
    </row>
    <row r="67" spans="1:11">
      <c r="A67" s="41" t="str">
        <f>LEFT(Table_1j!$A$1,8)</f>
        <v>Table 1j</v>
      </c>
      <c r="B67" s="42" t="str">
        <f>Table_1i!A4</f>
        <v xml:space="preserve">April 2020 to March 2021 </v>
      </c>
      <c r="C67" s="63" t="s">
        <v>192</v>
      </c>
      <c r="D67" s="63" t="s">
        <v>197</v>
      </c>
      <c r="E67" s="70">
        <f>IFERROR(VLOOKUP($B67,Table_1j!$A$4:$H$100,COLUMN(E$1)-3,FALSE),"")</f>
        <v>0.05</v>
      </c>
      <c r="F67" s="70">
        <f>IFERROR(VLOOKUP($B67,Table_1j!$A$4:$H$100,COLUMN(F$1)-3,FALSE),"")</f>
        <v>0</v>
      </c>
      <c r="G67" s="70">
        <f>IFERROR(VLOOKUP($B67,Table_1j!$A$4:$H$100,COLUMN(G$1)-3,FALSE),"")</f>
        <v>7.0000000000000007E-2</v>
      </c>
      <c r="H67" s="70">
        <f>IFERROR(VLOOKUP($B67,Table_1j!$A$4:$H$100,COLUMN(H$1)-3,FALSE),"")</f>
        <v>0.03</v>
      </c>
      <c r="I67" s="70">
        <f>IFERROR(VLOOKUP($B67,Table_1j!$A$4:$H$100,COLUMN(I$1)-3,FALSE),"")</f>
        <v>0</v>
      </c>
      <c r="J67" s="70">
        <f>IFERROR(VLOOKUP($B67,Table_1j!$A$4:$H$100,COLUMN(J$1)-3,FALSE),"")</f>
        <v>7.0000000000000007E-2</v>
      </c>
      <c r="K67" s="71">
        <f>IFERROR(VLOOKUP($B67,Table_1j!$A$4:$H$100,COLUMN(K$1)-3,FALSE),"")</f>
        <v>0.14000000000000001</v>
      </c>
    </row>
    <row r="68" spans="1:11">
      <c r="A68" s="43" t="str">
        <f>LEFT(Table_1j!$A$1,8)</f>
        <v>Table 1j</v>
      </c>
      <c r="B68" t="str">
        <f>Table_1i!A5</f>
        <v>April 2021 to March 2022</v>
      </c>
      <c r="C68" s="62" t="s">
        <v>194</v>
      </c>
      <c r="D68" s="62" t="s">
        <v>197</v>
      </c>
      <c r="E68" s="104">
        <f>IFERROR(VLOOKUP($B68,Table_1j!$A$4:$H$100,COLUMN(E$1)-3,FALSE),"")</f>
        <v>7.0000000000000007E-2</v>
      </c>
      <c r="F68" s="104">
        <f>IFERROR(VLOOKUP($B68,Table_1j!$A$4:$H$100,COLUMN(F$1)-3,FALSE),"")</f>
        <v>0.05</v>
      </c>
      <c r="G68" s="104">
        <f>IFERROR(VLOOKUP($B68,Table_1j!$A$4:$H$100,COLUMN(G$1)-3,FALSE),"")</f>
        <v>0.14000000000000001</v>
      </c>
      <c r="H68" s="104">
        <f>IFERROR(VLOOKUP($B68,Table_1j!$A$4:$H$100,COLUMN(H$1)-3,FALSE),"")</f>
        <v>0.03</v>
      </c>
      <c r="I68" s="104">
        <f>IFERROR(VLOOKUP($B68,Table_1j!$A$4:$H$100,COLUMN(I$1)-3,FALSE),"")</f>
        <v>0.08</v>
      </c>
      <c r="J68" s="104">
        <f>IFERROR(VLOOKUP($B68,Table_1j!$A$4:$H$100,COLUMN(J$1)-3,FALSE),"")</f>
        <v>0.05</v>
      </c>
      <c r="K68" s="105">
        <f>IFERROR(VLOOKUP($B68,Table_1j!$A$4:$H$100,COLUMN(K$1)-3,FALSE),"")</f>
        <v>0.11</v>
      </c>
    </row>
    <row r="69" spans="1:11">
      <c r="A69" s="43" t="str">
        <f>LEFT(Table_1j!$A$1,8)</f>
        <v>Table 1j</v>
      </c>
      <c r="B69" t="str">
        <f>Table_1i!A6</f>
        <v>April 2022 to March 2023</v>
      </c>
      <c r="C69" s="62" t="s">
        <v>195</v>
      </c>
      <c r="D69" s="62" t="s">
        <v>197</v>
      </c>
      <c r="E69" s="104">
        <f>IFERROR(VLOOKUP($B69,Table_1j!$A$4:$H$100,COLUMN(E$1)-3,FALSE),"")</f>
        <v>0.08</v>
      </c>
      <c r="F69" s="104">
        <f>IFERROR(VLOOKUP($B69,Table_1j!$A$4:$H$100,COLUMN(F$1)-3,FALSE),"")</f>
        <v>0.09</v>
      </c>
      <c r="G69" s="104">
        <f>IFERROR(VLOOKUP($B69,Table_1j!$A$4:$H$100,COLUMN(G$1)-3,FALSE),"")</f>
        <v>0.05</v>
      </c>
      <c r="H69" s="104">
        <f>IFERROR(VLOOKUP($B69,Table_1j!$A$4:$H$100,COLUMN(H$1)-3,FALSE),"")</f>
        <v>0.08</v>
      </c>
      <c r="I69" s="104">
        <f>IFERROR(VLOOKUP($B69,Table_1j!$A$4:$H$100,COLUMN(I$1)-3,FALSE),"")</f>
        <v>0.08</v>
      </c>
      <c r="J69" s="104">
        <f>IFERROR(VLOOKUP($B69,Table_1j!$A$4:$H$100,COLUMN(J$1)-3,FALSE),"")</f>
        <v>0.12</v>
      </c>
      <c r="K69" s="105">
        <f>IFERROR(VLOOKUP($B69,Table_1j!$A$4:$H$100,COLUMN(K$1)-3,FALSE),"")</f>
        <v>0.03</v>
      </c>
    </row>
    <row r="70" spans="1:11" ht="15" thickBot="1">
      <c r="A70" s="43" t="str">
        <f>LEFT(Table_1j!$A$1,8)</f>
        <v>Table 1j</v>
      </c>
      <c r="B70" t="str">
        <f>Table_1i!A7</f>
        <v>April 2023 to March 2024</v>
      </c>
      <c r="C70" s="62" t="s">
        <v>196</v>
      </c>
      <c r="D70" s="62" t="s">
        <v>197</v>
      </c>
      <c r="E70" s="104">
        <f>IFERROR(VLOOKUP($B70,Table_1j!$A$4:$H$100,COLUMN(E$1)-3,FALSE),"")</f>
        <v>7.0000000000000007E-2</v>
      </c>
      <c r="F70" s="104">
        <f>IFERROR(VLOOKUP($B70,Table_1j!$A$4:$H$100,COLUMN(F$1)-3,FALSE),"")</f>
        <v>0.13</v>
      </c>
      <c r="G70" s="104">
        <f>IFERROR(VLOOKUP($B70,Table_1j!$A$4:$H$100,COLUMN(G$1)-3,FALSE),"")</f>
        <v>0.03</v>
      </c>
      <c r="H70" s="104">
        <f>IFERROR(VLOOKUP($B70,Table_1j!$A$4:$H$100,COLUMN(H$1)-3,FALSE),"")</f>
        <v>0.01</v>
      </c>
      <c r="I70" s="104">
        <f>IFERROR(VLOOKUP($B70,Table_1j!$A$4:$H$100,COLUMN(I$1)-3,FALSE),"")</f>
        <v>0.11</v>
      </c>
      <c r="J70" s="104">
        <f>IFERROR(VLOOKUP($B70,Table_1j!$A$4:$H$100,COLUMN(J$1)-3,FALSE),"")</f>
        <v>7.0000000000000007E-2</v>
      </c>
      <c r="K70" s="105">
        <f>IFERROR(VLOOKUP($B70,Table_1j!$A$4:$H$100,COLUMN(K$1)-3,FALSE),"")</f>
        <v>0.09</v>
      </c>
    </row>
    <row r="71" spans="1:11">
      <c r="A71" s="41" t="str">
        <f>LEFT(Table_1k!$A$1,8)</f>
        <v>Table 1k</v>
      </c>
      <c r="B71" s="42" t="str">
        <f>Table_1j!A4</f>
        <v xml:space="preserve">April 2020 to March 2021 </v>
      </c>
      <c r="C71" s="63" t="s">
        <v>192</v>
      </c>
      <c r="D71" s="63" t="s">
        <v>198</v>
      </c>
      <c r="E71" s="64" t="str">
        <f>IFERROR(VLOOKUP($B71,Table_1k!$A$4:$H$100,COLUMN(E$1)-3,FALSE),"")</f>
        <v/>
      </c>
      <c r="F71" s="64" t="str">
        <f>IFERROR(VLOOKUP($B71,Table_1k!$A$4:$H$100,COLUMN(F$1)-3,FALSE),"")</f>
        <v/>
      </c>
      <c r="G71" s="64" t="str">
        <f>IFERROR(VLOOKUP($B71,Table_1k!$A$4:$H$100,COLUMN(G$1)-3,FALSE),"")</f>
        <v/>
      </c>
      <c r="H71" s="64" t="str">
        <f>IFERROR(VLOOKUP($B71,Table_1k!$A$4:$H$100,COLUMN(H$1)-3,FALSE),"")</f>
        <v/>
      </c>
      <c r="I71" s="64" t="str">
        <f>IFERROR(VLOOKUP($B71,Table_1k!$A$4:$H$100,COLUMN(I$1)-3,FALSE),"")</f>
        <v/>
      </c>
      <c r="J71" s="64" t="str">
        <f>IFERROR(VLOOKUP($B71,Table_1k!$A$4:$H$100,COLUMN(J$1)-3,FALSE),"")</f>
        <v/>
      </c>
      <c r="K71" s="65" t="str">
        <f>IFERROR(VLOOKUP($B71,Table_1k!$A$4:$H$100,COLUMN(K$1)-3,FALSE),"")</f>
        <v/>
      </c>
    </row>
    <row r="72" spans="1:11">
      <c r="A72" s="43" t="str">
        <f>LEFT(Table_1k!$A$1,8)</f>
        <v>Table 1k</v>
      </c>
      <c r="B72" t="str">
        <f>Table_1j!A5</f>
        <v>April 2021 to March 2022</v>
      </c>
      <c r="C72" s="62" t="s">
        <v>194</v>
      </c>
      <c r="D72" s="62" t="s">
        <v>198</v>
      </c>
      <c r="E72" s="66">
        <f>IFERROR(VLOOKUP($B72,Table_1k!$A$4:$H$100,COLUMN(E$1)-3,FALSE),"")</f>
        <v>89</v>
      </c>
      <c r="F72" s="66">
        <f>IFERROR(VLOOKUP($B72,Table_1k!$A$4:$H$100,COLUMN(F$1)-3,FALSE),"")</f>
        <v>0</v>
      </c>
      <c r="G72" s="66">
        <f>IFERROR(VLOOKUP($B72,Table_1k!$A$4:$H$100,COLUMN(G$1)-3,FALSE),"")</f>
        <v>0</v>
      </c>
      <c r="H72" s="66">
        <f>IFERROR(VLOOKUP($B72,Table_1k!$A$4:$H$100,COLUMN(H$1)-3,FALSE),"")</f>
        <v>0</v>
      </c>
      <c r="I72" s="66">
        <f>IFERROR(VLOOKUP($B72,Table_1k!$A$4:$H$100,COLUMN(I$1)-3,FALSE),"")</f>
        <v>0</v>
      </c>
      <c r="J72" s="66">
        <f>IFERROR(VLOOKUP($B72,Table_1k!$A$4:$H$100,COLUMN(J$1)-3,FALSE),"")</f>
        <v>0</v>
      </c>
      <c r="K72" s="67">
        <f>IFERROR(VLOOKUP($B72,Table_1k!$A$4:$H$100,COLUMN(K$1)-3,FALSE),"")</f>
        <v>0</v>
      </c>
    </row>
    <row r="73" spans="1:11">
      <c r="A73" s="43" t="str">
        <f>LEFT(Table_1k!$A$1,8)</f>
        <v>Table 1k</v>
      </c>
      <c r="B73" t="str">
        <f>Table_1j!A6</f>
        <v>April 2022 to March 2023</v>
      </c>
      <c r="C73" s="62" t="s">
        <v>195</v>
      </c>
      <c r="D73" s="62" t="s">
        <v>198</v>
      </c>
      <c r="E73" s="66">
        <f>IFERROR(VLOOKUP($B73,Table_1k!$A$4:$H$100,COLUMN(E$1)-3,FALSE),"")</f>
        <v>89</v>
      </c>
      <c r="F73" s="66">
        <f>IFERROR(VLOOKUP($B73,Table_1k!$A$4:$H$100,COLUMN(F$1)-3,FALSE),"")</f>
        <v>0</v>
      </c>
      <c r="G73" s="66">
        <f>IFERROR(VLOOKUP($B73,Table_1k!$A$4:$H$100,COLUMN(G$1)-3,FALSE),"")</f>
        <v>0</v>
      </c>
      <c r="H73" s="66">
        <f>IFERROR(VLOOKUP($B73,Table_1k!$A$4:$H$100,COLUMN(H$1)-3,FALSE),"")</f>
        <v>0</v>
      </c>
      <c r="I73" s="66">
        <f>IFERROR(VLOOKUP($B73,Table_1k!$A$4:$H$100,COLUMN(I$1)-3,FALSE),"")</f>
        <v>0</v>
      </c>
      <c r="J73" s="66">
        <f>IFERROR(VLOOKUP($B73,Table_1k!$A$4:$H$100,COLUMN(J$1)-3,FALSE),"")</f>
        <v>0</v>
      </c>
      <c r="K73" s="67">
        <f>IFERROR(VLOOKUP($B73,Table_1k!$A$4:$H$100,COLUMN(K$1)-3,FALSE),"")</f>
        <v>0</v>
      </c>
    </row>
    <row r="74" spans="1:11">
      <c r="A74" s="43" t="str">
        <f>LEFT(Table_1k!$A$1,8)</f>
        <v>Table 1k</v>
      </c>
      <c r="B74" t="str">
        <f>Table_1j!A7</f>
        <v>April 2023 to March 2024</v>
      </c>
      <c r="C74" s="62" t="s">
        <v>196</v>
      </c>
      <c r="D74" s="62" t="s">
        <v>198</v>
      </c>
      <c r="E74" s="66">
        <f>IFERROR(VLOOKUP($B74,Table_1k!$A$4:$H$100,COLUMN(E$1)-3,FALSE),"")</f>
        <v>89</v>
      </c>
      <c r="F74" s="66">
        <f>IFERROR(VLOOKUP($B74,Table_1k!$A$4:$H$100,COLUMN(F$1)-3,FALSE),"")</f>
        <v>0</v>
      </c>
      <c r="G74" s="66">
        <f>IFERROR(VLOOKUP($B74,Table_1k!$A$4:$H$100,COLUMN(G$1)-3,FALSE),"")</f>
        <v>0</v>
      </c>
      <c r="H74" s="66">
        <f>IFERROR(VLOOKUP($B74,Table_1k!$A$4:$H$100,COLUMN(H$1)-3,FALSE),"")</f>
        <v>0</v>
      </c>
      <c r="I74" s="66">
        <f>IFERROR(VLOOKUP($B74,Table_1k!$A$4:$H$100,COLUMN(I$1)-3,FALSE),"")</f>
        <v>0</v>
      </c>
      <c r="J74" s="66">
        <f>IFERROR(VLOOKUP($B74,Table_1k!$A$4:$H$100,COLUMN(J$1)-3,FALSE),"")</f>
        <v>0</v>
      </c>
      <c r="K74" s="67">
        <f>IFERROR(VLOOKUP($B74,Table_1k!$A$4:$H$100,COLUMN(K$1)-3,FALSE),"")</f>
        <v>0</v>
      </c>
    </row>
  </sheetData>
  <phoneticPr fontId="168" type="noConversion"/>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1C9B5-83FA-4D2E-BBA2-19546E01BCE5}">
  <sheetPr codeName="Sheet2">
    <tabColor rgb="FF253268"/>
  </sheetPr>
  <dimension ref="A1:B9"/>
  <sheetViews>
    <sheetView workbookViewId="0"/>
  </sheetViews>
  <sheetFormatPr defaultRowHeight="14.45"/>
  <cols>
    <col min="1" max="1" width="31.42578125" bestFit="1" customWidth="1"/>
    <col min="2" max="2" width="100.5703125" customWidth="1"/>
  </cols>
  <sheetData>
    <row r="1" spans="1:2" ht="30" customHeight="1">
      <c r="A1" s="18" t="s">
        <v>36</v>
      </c>
      <c r="B1" s="19"/>
    </row>
    <row r="2" spans="1:2" ht="15.6">
      <c r="A2" s="2" t="s">
        <v>37</v>
      </c>
      <c r="B2" s="20"/>
    </row>
    <row r="3" spans="1:2" ht="15.6">
      <c r="A3" s="21" t="s">
        <v>38</v>
      </c>
      <c r="B3" s="22" t="s">
        <v>39</v>
      </c>
    </row>
    <row r="4" spans="1:2" ht="15.6">
      <c r="A4" s="3" t="s">
        <v>40</v>
      </c>
      <c r="B4" s="1" t="s">
        <v>41</v>
      </c>
    </row>
    <row r="5" spans="1:2" ht="46.5">
      <c r="A5" s="3" t="s">
        <v>42</v>
      </c>
      <c r="B5" s="1" t="s">
        <v>43</v>
      </c>
    </row>
    <row r="6" spans="1:2" ht="30.95">
      <c r="A6" s="3" t="s">
        <v>44</v>
      </c>
      <c r="B6" s="1" t="s">
        <v>45</v>
      </c>
    </row>
    <row r="7" spans="1:2" ht="30.95">
      <c r="A7" s="3" t="s">
        <v>46</v>
      </c>
      <c r="B7" s="1" t="s">
        <v>47</v>
      </c>
    </row>
    <row r="8" spans="1:2" ht="46.5">
      <c r="A8" s="1" t="s">
        <v>48</v>
      </c>
      <c r="B8" s="16" t="s">
        <v>49</v>
      </c>
    </row>
    <row r="9" spans="1:2" ht="46.5">
      <c r="A9" s="1" t="s">
        <v>50</v>
      </c>
      <c r="B9" s="16" t="s">
        <v>51</v>
      </c>
    </row>
  </sheetData>
  <phoneticPr fontId="168" type="noConversion"/>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AFF5-BC7E-4BE3-A9E1-2417D9A56F10}">
  <sheetPr codeName="Sheet3">
    <tabColor rgb="FF253268"/>
  </sheetPr>
  <dimension ref="A1:B14"/>
  <sheetViews>
    <sheetView workbookViewId="0"/>
  </sheetViews>
  <sheetFormatPr defaultRowHeight="14.45"/>
  <cols>
    <col min="1" max="1" width="34" bestFit="1" customWidth="1"/>
    <col min="2" max="2" width="104.85546875" customWidth="1"/>
  </cols>
  <sheetData>
    <row r="1" spans="1:2" ht="30" customHeight="1">
      <c r="A1" s="8" t="s">
        <v>52</v>
      </c>
      <c r="B1" s="1"/>
    </row>
    <row r="2" spans="1:2" ht="15.6">
      <c r="A2" s="13" t="s">
        <v>53</v>
      </c>
      <c r="B2" s="1"/>
    </row>
    <row r="3" spans="1:2" ht="15.6">
      <c r="A3" s="9" t="s">
        <v>54</v>
      </c>
      <c r="B3" s="10" t="s">
        <v>55</v>
      </c>
    </row>
    <row r="4" spans="1:2" ht="15.6">
      <c r="A4" s="16" t="s">
        <v>56</v>
      </c>
      <c r="B4" s="95" t="s">
        <v>57</v>
      </c>
    </row>
    <row r="5" spans="1:2" ht="15.6">
      <c r="A5" s="16" t="s">
        <v>58</v>
      </c>
      <c r="B5" s="95" t="s">
        <v>59</v>
      </c>
    </row>
    <row r="6" spans="1:2" ht="46.5">
      <c r="A6" s="16" t="s">
        <v>60</v>
      </c>
      <c r="B6" s="16" t="s">
        <v>61</v>
      </c>
    </row>
    <row r="7" spans="1:2" ht="15.6">
      <c r="A7" s="16" t="s">
        <v>62</v>
      </c>
      <c r="B7" s="95" t="s">
        <v>63</v>
      </c>
    </row>
    <row r="8" spans="1:2" ht="15.6">
      <c r="A8" s="16" t="s">
        <v>64</v>
      </c>
      <c r="B8" s="95" t="s">
        <v>65</v>
      </c>
    </row>
    <row r="9" spans="1:2" ht="15.6">
      <c r="A9" s="16" t="s">
        <v>66</v>
      </c>
      <c r="B9" s="95" t="s">
        <v>67</v>
      </c>
    </row>
    <row r="10" spans="1:2" ht="15.6">
      <c r="A10" s="16" t="s">
        <v>68</v>
      </c>
      <c r="B10" s="95" t="s">
        <v>69</v>
      </c>
    </row>
    <row r="11" spans="1:2" ht="30.95">
      <c r="A11" s="16" t="s">
        <v>70</v>
      </c>
      <c r="B11" s="16" t="s">
        <v>71</v>
      </c>
    </row>
    <row r="12" spans="1:2" ht="30.95">
      <c r="A12" s="16" t="s">
        <v>72</v>
      </c>
      <c r="B12" s="16" t="s">
        <v>73</v>
      </c>
    </row>
    <row r="13" spans="1:2" ht="30.95">
      <c r="A13" s="16" t="s">
        <v>74</v>
      </c>
      <c r="B13" s="16" t="s">
        <v>75</v>
      </c>
    </row>
    <row r="14" spans="1:2" ht="46.5">
      <c r="A14" s="16" t="s">
        <v>76</v>
      </c>
      <c r="B14" s="95" t="s">
        <v>77</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DF1C-A27D-4D06-BAB8-A2C1BA576DB2}">
  <sheetPr codeName="Sheet4">
    <tabColor rgb="FF253268"/>
  </sheetPr>
  <dimension ref="A1:I15"/>
  <sheetViews>
    <sheetView workbookViewId="0"/>
  </sheetViews>
  <sheetFormatPr defaultColWidth="9" defaultRowHeight="14.45"/>
  <cols>
    <col min="1" max="1" width="56.85546875" customWidth="1"/>
    <col min="2" max="2" width="20.5703125" style="7" customWidth="1"/>
    <col min="3" max="3" width="14" style="7" customWidth="1"/>
    <col min="4" max="4" width="22.5703125" style="7" customWidth="1"/>
    <col min="5" max="9" width="18.5703125" style="7" customWidth="1"/>
  </cols>
  <sheetData>
    <row r="1" spans="1:9" ht="30" customHeight="1">
      <c r="A1" s="88" t="s">
        <v>78</v>
      </c>
      <c r="C1"/>
      <c r="D1"/>
      <c r="E1"/>
      <c r="F1"/>
      <c r="G1"/>
      <c r="H1"/>
      <c r="I1"/>
    </row>
    <row r="2" spans="1:9" ht="20.100000000000001" customHeight="1">
      <c r="A2" s="37" t="s">
        <v>53</v>
      </c>
      <c r="B2" s="83"/>
      <c r="C2"/>
      <c r="D2"/>
      <c r="E2"/>
      <c r="F2"/>
      <c r="G2"/>
      <c r="H2"/>
      <c r="I2"/>
    </row>
    <row r="3" spans="1:9" s="25" customFormat="1" ht="20.100000000000001" customHeight="1">
      <c r="A3" s="47" t="s">
        <v>79</v>
      </c>
      <c r="B3" s="47"/>
    </row>
    <row r="4" spans="1:9" ht="20.100000000000001" customHeight="1">
      <c r="A4" s="46" t="s">
        <v>80</v>
      </c>
      <c r="C4"/>
      <c r="D4"/>
      <c r="E4"/>
      <c r="F4"/>
      <c r="G4"/>
      <c r="H4"/>
      <c r="I4"/>
    </row>
    <row r="5" spans="1:9" ht="20.25" customHeight="1">
      <c r="A5" s="15" t="s">
        <v>81</v>
      </c>
      <c r="B5" s="6"/>
      <c r="C5"/>
      <c r="D5"/>
      <c r="E5"/>
      <c r="F5"/>
      <c r="G5"/>
      <c r="H5"/>
      <c r="I5"/>
    </row>
    <row r="6" spans="1:9" s="5" customFormat="1" ht="50.1" customHeight="1">
      <c r="A6" s="4" t="s">
        <v>82</v>
      </c>
      <c r="B6" s="116" t="s">
        <v>83</v>
      </c>
    </row>
    <row r="7" spans="1:9" ht="20.100000000000001" customHeight="1">
      <c r="A7" s="34" t="s">
        <v>84</v>
      </c>
      <c r="B7" s="39">
        <v>2338</v>
      </c>
      <c r="C7"/>
      <c r="D7"/>
      <c r="E7"/>
      <c r="F7"/>
      <c r="G7"/>
      <c r="H7"/>
      <c r="I7"/>
    </row>
    <row r="8" spans="1:9" ht="20.100000000000001" customHeight="1">
      <c r="A8" s="34" t="s">
        <v>85</v>
      </c>
      <c r="B8" s="39">
        <v>2281</v>
      </c>
      <c r="C8"/>
      <c r="D8"/>
      <c r="E8"/>
      <c r="F8"/>
      <c r="G8"/>
      <c r="H8"/>
      <c r="I8"/>
    </row>
    <row r="9" spans="1:9" ht="20.100000000000001" customHeight="1">
      <c r="A9" s="34" t="s">
        <v>86</v>
      </c>
      <c r="B9" s="39">
        <v>2091</v>
      </c>
      <c r="C9"/>
      <c r="D9"/>
      <c r="E9"/>
      <c r="F9"/>
      <c r="G9"/>
      <c r="H9"/>
      <c r="I9"/>
    </row>
    <row r="10" spans="1:9" ht="20.100000000000001" customHeight="1">
      <c r="A10" s="34" t="s">
        <v>87</v>
      </c>
      <c r="B10" s="39">
        <v>1297</v>
      </c>
      <c r="C10"/>
      <c r="D10"/>
      <c r="E10"/>
      <c r="F10"/>
      <c r="G10"/>
      <c r="H10"/>
      <c r="I10"/>
    </row>
    <row r="11" spans="1:9" ht="20.100000000000001" customHeight="1" thickBot="1">
      <c r="A11" s="35" t="s">
        <v>88</v>
      </c>
      <c r="B11" s="84">
        <v>2086</v>
      </c>
      <c r="C11"/>
      <c r="D11"/>
      <c r="E11"/>
      <c r="F11"/>
      <c r="G11"/>
      <c r="H11"/>
      <c r="I11"/>
    </row>
    <row r="12" spans="1:9" ht="20.100000000000001" customHeight="1" thickTop="1">
      <c r="A12" s="34" t="s">
        <v>89</v>
      </c>
      <c r="B12" s="39">
        <v>1415</v>
      </c>
      <c r="C12"/>
      <c r="D12"/>
      <c r="E12"/>
      <c r="F12"/>
      <c r="G12"/>
      <c r="H12"/>
      <c r="I12"/>
    </row>
    <row r="13" spans="1:9" ht="20.100000000000001" customHeight="1">
      <c r="A13" s="100" t="s">
        <v>90</v>
      </c>
      <c r="B13" s="110">
        <v>1832</v>
      </c>
      <c r="C13"/>
      <c r="D13"/>
      <c r="E13"/>
      <c r="F13"/>
      <c r="G13"/>
      <c r="H13"/>
      <c r="I13"/>
    </row>
    <row r="14" spans="1:9" ht="20.100000000000001" customHeight="1">
      <c r="A14" s="100" t="s">
        <v>91</v>
      </c>
      <c r="B14" s="110">
        <v>1939</v>
      </c>
      <c r="C14"/>
      <c r="D14"/>
      <c r="E14"/>
      <c r="F14"/>
      <c r="G14"/>
      <c r="H14"/>
      <c r="I14"/>
    </row>
    <row r="15" spans="1:9" ht="19.5" customHeight="1">
      <c r="A15" s="34" t="s">
        <v>92</v>
      </c>
      <c r="B15" s="39">
        <v>1913</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EAB47-7B6F-407B-8819-9EA147AC9D2D}">
  <sheetPr codeName="Sheet5">
    <tabColor rgb="FF253268"/>
  </sheetPr>
  <dimension ref="A1:H13"/>
  <sheetViews>
    <sheetView workbookViewId="0"/>
  </sheetViews>
  <sheetFormatPr defaultColWidth="9" defaultRowHeight="14.45"/>
  <cols>
    <col min="1" max="1" width="50.5703125" customWidth="1"/>
    <col min="2" max="2" width="20.5703125" style="7" customWidth="1"/>
    <col min="3" max="8" width="18.5703125" style="7" customWidth="1"/>
  </cols>
  <sheetData>
    <row r="1" spans="1:8" ht="30" customHeight="1">
      <c r="A1" s="88" t="s">
        <v>93</v>
      </c>
    </row>
    <row r="2" spans="1:8" s="45" customFormat="1" ht="20.100000000000001" customHeight="1">
      <c r="A2" s="24" t="s">
        <v>53</v>
      </c>
    </row>
    <row r="3" spans="1:8" s="90" customFormat="1" ht="20.100000000000001" customHeight="1">
      <c r="A3" s="47" t="s">
        <v>79</v>
      </c>
      <c r="B3" s="89"/>
      <c r="C3" s="89"/>
      <c r="D3" s="89"/>
    </row>
    <row r="4" spans="1:8" s="5" customFormat="1" ht="50.25" customHeight="1">
      <c r="A4" s="4" t="s">
        <v>82</v>
      </c>
      <c r="B4" s="48" t="s">
        <v>83</v>
      </c>
      <c r="C4" s="12" t="s">
        <v>94</v>
      </c>
      <c r="D4" s="12" t="s">
        <v>95</v>
      </c>
      <c r="E4" s="12" t="s">
        <v>96</v>
      </c>
      <c r="F4" s="12" t="s">
        <v>97</v>
      </c>
      <c r="G4" s="12" t="s">
        <v>98</v>
      </c>
      <c r="H4" s="12" t="s">
        <v>99</v>
      </c>
    </row>
    <row r="5" spans="1:8" s="5" customFormat="1" ht="20.25" customHeight="1">
      <c r="A5" s="34" t="s">
        <v>84</v>
      </c>
      <c r="B5" s="50">
        <v>16375</v>
      </c>
      <c r="C5" s="85" t="s">
        <v>100</v>
      </c>
      <c r="D5" s="85" t="s">
        <v>100</v>
      </c>
      <c r="E5" s="85" t="s">
        <v>100</v>
      </c>
      <c r="F5" s="85" t="s">
        <v>100</v>
      </c>
      <c r="G5" s="85" t="s">
        <v>100</v>
      </c>
      <c r="H5" s="85" t="s">
        <v>100</v>
      </c>
    </row>
    <row r="6" spans="1:8" s="5" customFormat="1" ht="20.25" customHeight="1">
      <c r="A6" s="34" t="s">
        <v>85</v>
      </c>
      <c r="B6" s="50">
        <v>16233</v>
      </c>
      <c r="C6" s="85" t="s">
        <v>100</v>
      </c>
      <c r="D6" s="85" t="s">
        <v>100</v>
      </c>
      <c r="E6" s="85" t="s">
        <v>100</v>
      </c>
      <c r="F6" s="85" t="s">
        <v>100</v>
      </c>
      <c r="G6" s="85" t="s">
        <v>100</v>
      </c>
      <c r="H6" s="85" t="s">
        <v>100</v>
      </c>
    </row>
    <row r="7" spans="1:8" s="5" customFormat="1" ht="20.25" customHeight="1">
      <c r="A7" s="34" t="s">
        <v>86</v>
      </c>
      <c r="B7" s="50">
        <v>14225</v>
      </c>
      <c r="C7" s="85" t="s">
        <v>100</v>
      </c>
      <c r="D7" s="85" t="s">
        <v>100</v>
      </c>
      <c r="E7" s="85" t="s">
        <v>100</v>
      </c>
      <c r="F7" s="85" t="s">
        <v>100</v>
      </c>
      <c r="G7" s="85" t="s">
        <v>100</v>
      </c>
      <c r="H7" s="85" t="s">
        <v>100</v>
      </c>
    </row>
    <row r="8" spans="1:8" s="5" customFormat="1" ht="20.25" customHeight="1">
      <c r="A8" s="34" t="s">
        <v>87</v>
      </c>
      <c r="B8" s="50">
        <v>13380</v>
      </c>
      <c r="C8" s="85" t="s">
        <v>100</v>
      </c>
      <c r="D8" s="85" t="s">
        <v>100</v>
      </c>
      <c r="E8" s="85" t="s">
        <v>100</v>
      </c>
      <c r="F8" s="85" t="s">
        <v>100</v>
      </c>
      <c r="G8" s="85" t="s">
        <v>100</v>
      </c>
      <c r="H8" s="85" t="s">
        <v>100</v>
      </c>
    </row>
    <row r="9" spans="1:8" s="5" customFormat="1" ht="20.25" customHeight="1" thickBot="1">
      <c r="A9" s="35" t="s">
        <v>88</v>
      </c>
      <c r="B9" s="51">
        <v>12347</v>
      </c>
      <c r="C9" s="84">
        <v>1647</v>
      </c>
      <c r="D9" s="84">
        <v>1580</v>
      </c>
      <c r="E9" s="84">
        <v>1915</v>
      </c>
      <c r="F9" s="84">
        <v>2036</v>
      </c>
      <c r="G9" s="84">
        <v>3919</v>
      </c>
      <c r="H9" s="84">
        <v>1250</v>
      </c>
    </row>
    <row r="10" spans="1:8" ht="20.25" customHeight="1" thickTop="1">
      <c r="A10" s="34" t="s">
        <v>89</v>
      </c>
      <c r="B10" s="50">
        <v>7873</v>
      </c>
      <c r="C10" s="39">
        <v>965</v>
      </c>
      <c r="D10" s="39">
        <v>944</v>
      </c>
      <c r="E10" s="39">
        <v>1316</v>
      </c>
      <c r="F10" s="39">
        <v>1284</v>
      </c>
      <c r="G10" s="39">
        <v>2598</v>
      </c>
      <c r="H10" s="39">
        <v>766</v>
      </c>
    </row>
    <row r="11" spans="1:8" s="5" customFormat="1" ht="20.25" customHeight="1">
      <c r="A11" s="34" t="s">
        <v>90</v>
      </c>
      <c r="B11" s="50">
        <v>9819</v>
      </c>
      <c r="C11" s="39">
        <v>1322</v>
      </c>
      <c r="D11" s="39">
        <v>1268</v>
      </c>
      <c r="E11" s="39">
        <v>1743</v>
      </c>
      <c r="F11" s="39">
        <v>1457</v>
      </c>
      <c r="G11" s="39">
        <v>3016</v>
      </c>
      <c r="H11" s="39">
        <v>1013</v>
      </c>
    </row>
    <row r="12" spans="1:8" s="5" customFormat="1" ht="20.25" customHeight="1">
      <c r="A12" s="34" t="s">
        <v>91</v>
      </c>
      <c r="B12" s="50">
        <v>10406</v>
      </c>
      <c r="C12" s="39">
        <v>1462</v>
      </c>
      <c r="D12" s="39">
        <v>1216</v>
      </c>
      <c r="E12" s="39">
        <v>1710</v>
      </c>
      <c r="F12" s="39">
        <v>1595</v>
      </c>
      <c r="G12" s="39">
        <v>3399</v>
      </c>
      <c r="H12" s="39">
        <v>1024</v>
      </c>
    </row>
    <row r="13" spans="1:8" ht="20.25" customHeight="1">
      <c r="A13" s="34" t="s">
        <v>92</v>
      </c>
      <c r="B13" s="50">
        <v>10089</v>
      </c>
      <c r="C13" s="85" t="s">
        <v>100</v>
      </c>
      <c r="D13" s="85" t="s">
        <v>100</v>
      </c>
      <c r="E13" s="85" t="s">
        <v>100</v>
      </c>
      <c r="F13" s="85" t="s">
        <v>100</v>
      </c>
      <c r="G13" s="85" t="s">
        <v>100</v>
      </c>
      <c r="H13" s="85" t="s">
        <v>100</v>
      </c>
    </row>
  </sheetData>
  <phoneticPr fontId="168" type="noConversion"/>
  <pageMargins left="0.7" right="0.7" top="0.75" bottom="0.75" header="0.3" footer="0.3"/>
  <pageSetup paperSize="0"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DECD7-DAD9-425C-B3B5-22EA6CE73F96}">
  <sheetPr codeName="Sheet6">
    <tabColor rgb="FF253268"/>
  </sheetPr>
  <dimension ref="A1:H13"/>
  <sheetViews>
    <sheetView workbookViewId="0"/>
  </sheetViews>
  <sheetFormatPr defaultRowHeight="14.45"/>
  <cols>
    <col min="1" max="1" width="50.5703125" customWidth="1"/>
    <col min="2" max="2" width="20.5703125" customWidth="1"/>
    <col min="3" max="8" width="18.5703125" customWidth="1"/>
  </cols>
  <sheetData>
    <row r="1" spans="1:8" ht="30" customHeight="1">
      <c r="A1" s="88" t="s">
        <v>101</v>
      </c>
      <c r="B1" s="88"/>
      <c r="C1" s="88"/>
      <c r="D1" s="88"/>
      <c r="E1" s="88"/>
      <c r="F1" s="88"/>
      <c r="G1" s="88"/>
      <c r="H1" s="88"/>
    </row>
    <row r="2" spans="1:8" s="45" customFormat="1" ht="20.100000000000001" customHeight="1">
      <c r="A2" s="24" t="s">
        <v>53</v>
      </c>
      <c r="B2" s="24"/>
      <c r="C2" s="24"/>
      <c r="D2" s="24"/>
      <c r="E2" s="24"/>
      <c r="F2" s="24"/>
      <c r="G2" s="24"/>
      <c r="H2" s="24"/>
    </row>
    <row r="3" spans="1:8" s="45" customFormat="1" ht="20.100000000000001" customHeight="1">
      <c r="A3" s="47" t="s">
        <v>79</v>
      </c>
      <c r="B3" s="24"/>
      <c r="C3" s="24"/>
      <c r="D3" s="24"/>
      <c r="E3" s="24"/>
      <c r="F3" s="24"/>
      <c r="G3" s="24"/>
      <c r="H3" s="24"/>
    </row>
    <row r="4" spans="1:8" ht="50.25" customHeight="1">
      <c r="A4" s="4" t="s">
        <v>82</v>
      </c>
      <c r="B4" s="48" t="s">
        <v>83</v>
      </c>
      <c r="C4" s="12" t="s">
        <v>94</v>
      </c>
      <c r="D4" s="12" t="s">
        <v>95</v>
      </c>
      <c r="E4" s="12" t="s">
        <v>96</v>
      </c>
      <c r="F4" s="12" t="s">
        <v>97</v>
      </c>
      <c r="G4" s="12" t="s">
        <v>98</v>
      </c>
      <c r="H4" s="12" t="s">
        <v>99</v>
      </c>
    </row>
    <row r="5" spans="1:8" s="4" customFormat="1" ht="20.25" customHeight="1">
      <c r="A5" s="34" t="s">
        <v>84</v>
      </c>
      <c r="B5" s="96">
        <v>1160</v>
      </c>
      <c r="C5" s="85" t="s">
        <v>100</v>
      </c>
      <c r="D5" s="85" t="s">
        <v>100</v>
      </c>
      <c r="E5" s="85" t="s">
        <v>100</v>
      </c>
      <c r="F5" s="85" t="s">
        <v>100</v>
      </c>
      <c r="G5" s="85" t="s">
        <v>100</v>
      </c>
      <c r="H5" s="85" t="s">
        <v>100</v>
      </c>
    </row>
    <row r="6" spans="1:8" s="4" customFormat="1" ht="20.25" customHeight="1">
      <c r="A6" s="34" t="s">
        <v>85</v>
      </c>
      <c r="B6" s="50">
        <v>1170</v>
      </c>
      <c r="C6" s="85" t="s">
        <v>100</v>
      </c>
      <c r="D6" s="85" t="s">
        <v>100</v>
      </c>
      <c r="E6" s="85" t="s">
        <v>100</v>
      </c>
      <c r="F6" s="85" t="s">
        <v>100</v>
      </c>
      <c r="G6" s="85" t="s">
        <v>100</v>
      </c>
      <c r="H6" s="85" t="s">
        <v>100</v>
      </c>
    </row>
    <row r="7" spans="1:8" s="4" customFormat="1" ht="20.25" customHeight="1">
      <c r="A7" s="34" t="s">
        <v>86</v>
      </c>
      <c r="B7" s="50">
        <v>1050</v>
      </c>
      <c r="C7" s="85" t="s">
        <v>100</v>
      </c>
      <c r="D7" s="85" t="s">
        <v>100</v>
      </c>
      <c r="E7" s="85" t="s">
        <v>100</v>
      </c>
      <c r="F7" s="85" t="s">
        <v>100</v>
      </c>
      <c r="G7" s="85" t="s">
        <v>100</v>
      </c>
      <c r="H7" s="85" t="s">
        <v>100</v>
      </c>
    </row>
    <row r="8" spans="1:8" s="4" customFormat="1" ht="20.25" customHeight="1">
      <c r="A8" s="34" t="s">
        <v>87</v>
      </c>
      <c r="B8" s="50">
        <v>1036</v>
      </c>
      <c r="C8" s="85" t="s">
        <v>100</v>
      </c>
      <c r="D8" s="85" t="s">
        <v>100</v>
      </c>
      <c r="E8" s="85" t="s">
        <v>100</v>
      </c>
      <c r="F8" s="85" t="s">
        <v>100</v>
      </c>
      <c r="G8" s="85" t="s">
        <v>100</v>
      </c>
      <c r="H8" s="85" t="s">
        <v>100</v>
      </c>
    </row>
    <row r="9" spans="1:8" s="4" customFormat="1" ht="20.25" customHeight="1" thickBot="1">
      <c r="A9" s="35" t="s">
        <v>88</v>
      </c>
      <c r="B9" s="50">
        <v>962</v>
      </c>
      <c r="C9" s="39">
        <v>118</v>
      </c>
      <c r="D9" s="39">
        <v>78</v>
      </c>
      <c r="E9" s="39">
        <v>192</v>
      </c>
      <c r="F9" s="39">
        <v>128</v>
      </c>
      <c r="G9" s="39">
        <v>333</v>
      </c>
      <c r="H9" s="39">
        <v>113</v>
      </c>
    </row>
    <row r="10" spans="1:8" s="4" customFormat="1" ht="20.25" customHeight="1" thickTop="1">
      <c r="A10" s="34" t="s">
        <v>89</v>
      </c>
      <c r="B10" s="49">
        <v>605</v>
      </c>
      <c r="C10" s="86">
        <v>74</v>
      </c>
      <c r="D10" s="86">
        <v>57</v>
      </c>
      <c r="E10" s="86">
        <v>103</v>
      </c>
      <c r="F10" s="86">
        <v>91</v>
      </c>
      <c r="G10" s="86">
        <v>196</v>
      </c>
      <c r="H10" s="86">
        <v>84</v>
      </c>
    </row>
    <row r="11" spans="1:8" s="4" customFormat="1" ht="20.25" customHeight="1">
      <c r="A11" s="34" t="s">
        <v>90</v>
      </c>
      <c r="B11" s="50">
        <v>803</v>
      </c>
      <c r="C11" s="85">
        <v>73</v>
      </c>
      <c r="D11" s="85">
        <v>68</v>
      </c>
      <c r="E11" s="85">
        <v>156</v>
      </c>
      <c r="F11" s="85">
        <v>142</v>
      </c>
      <c r="G11" s="85">
        <v>252</v>
      </c>
      <c r="H11" s="85">
        <v>112</v>
      </c>
    </row>
    <row r="12" spans="1:8" s="4" customFormat="1" ht="20.25" customHeight="1">
      <c r="A12" s="34" t="s">
        <v>91</v>
      </c>
      <c r="B12" s="50">
        <v>834</v>
      </c>
      <c r="C12" s="85">
        <v>80</v>
      </c>
      <c r="D12" s="85">
        <v>86</v>
      </c>
      <c r="E12" s="85">
        <v>163</v>
      </c>
      <c r="F12" s="85">
        <v>127</v>
      </c>
      <c r="G12" s="85">
        <v>273</v>
      </c>
      <c r="H12" s="85">
        <v>105</v>
      </c>
    </row>
    <row r="13" spans="1:8" ht="19.5" customHeight="1">
      <c r="A13" s="34" t="s">
        <v>92</v>
      </c>
      <c r="B13" s="50">
        <v>795</v>
      </c>
      <c r="C13" s="85" t="s">
        <v>100</v>
      </c>
      <c r="D13" s="85" t="s">
        <v>100</v>
      </c>
      <c r="E13" s="85" t="s">
        <v>100</v>
      </c>
      <c r="F13" s="85" t="s">
        <v>100</v>
      </c>
      <c r="G13" s="85" t="s">
        <v>100</v>
      </c>
      <c r="H13" s="85" t="s">
        <v>100</v>
      </c>
    </row>
  </sheetData>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B1942-7A46-4872-B2A9-4131622BB09A}">
  <sheetPr codeName="Sheet7">
    <tabColor rgb="FF253268"/>
  </sheetPr>
  <dimension ref="A1:B13"/>
  <sheetViews>
    <sheetView workbookViewId="0"/>
  </sheetViews>
  <sheetFormatPr defaultRowHeight="14.45"/>
  <cols>
    <col min="1" max="1" width="50.5703125" customWidth="1"/>
    <col min="2" max="2" width="20.5703125" customWidth="1"/>
    <col min="3" max="8" width="16.5703125" customWidth="1"/>
  </cols>
  <sheetData>
    <row r="1" spans="1:2" ht="30" customHeight="1">
      <c r="A1" s="87" t="s">
        <v>102</v>
      </c>
      <c r="B1" s="7"/>
    </row>
    <row r="2" spans="1:2" ht="20.100000000000001" customHeight="1">
      <c r="A2" s="24" t="s">
        <v>53</v>
      </c>
      <c r="B2" s="7"/>
    </row>
    <row r="3" spans="1:2" ht="20.100000000000001" customHeight="1">
      <c r="A3" s="47" t="s">
        <v>79</v>
      </c>
      <c r="B3" s="14"/>
    </row>
    <row r="4" spans="1:2" ht="50.25" customHeight="1">
      <c r="A4" s="4" t="s">
        <v>82</v>
      </c>
      <c r="B4" s="48" t="s">
        <v>83</v>
      </c>
    </row>
    <row r="5" spans="1:2" ht="20.25" customHeight="1">
      <c r="A5" s="34" t="s">
        <v>84</v>
      </c>
      <c r="B5" s="117">
        <v>849</v>
      </c>
    </row>
    <row r="6" spans="1:2" ht="20.25" customHeight="1">
      <c r="A6" s="34" t="s">
        <v>85</v>
      </c>
      <c r="B6" s="117">
        <v>864</v>
      </c>
    </row>
    <row r="7" spans="1:2" ht="20.45" customHeight="1">
      <c r="A7" s="34" t="s">
        <v>86</v>
      </c>
      <c r="B7" s="117">
        <v>760</v>
      </c>
    </row>
    <row r="8" spans="1:2" ht="20.25" customHeight="1">
      <c r="A8" s="34" t="s">
        <v>87</v>
      </c>
      <c r="B8" s="117">
        <v>785</v>
      </c>
    </row>
    <row r="9" spans="1:2" ht="20.25" customHeight="1" thickBot="1">
      <c r="A9" s="35" t="s">
        <v>88</v>
      </c>
      <c r="B9" s="118">
        <v>694</v>
      </c>
    </row>
    <row r="10" spans="1:2" ht="20.25" customHeight="1" thickTop="1">
      <c r="A10" s="34" t="s">
        <v>89</v>
      </c>
      <c r="B10" s="117">
        <v>404</v>
      </c>
    </row>
    <row r="11" spans="1:2" ht="20.45" customHeight="1">
      <c r="A11" s="34" t="s">
        <v>90</v>
      </c>
      <c r="B11" s="117">
        <v>547</v>
      </c>
    </row>
    <row r="12" spans="1:2" ht="20.45" customHeight="1">
      <c r="A12" s="34" t="s">
        <v>91</v>
      </c>
      <c r="B12" s="117">
        <v>598</v>
      </c>
    </row>
    <row r="13" spans="1:2" ht="19.5" customHeight="1">
      <c r="A13" s="34" t="s">
        <v>92</v>
      </c>
      <c r="B13" s="117">
        <v>565</v>
      </c>
    </row>
  </sheetData>
  <pageMargins left="0.7" right="0.7" top="0.75" bottom="0.75" header="0.3" footer="0.3"/>
  <pageSetup paperSize="0"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A6C10-F28B-483E-844B-4CBC34BA1EA7}">
  <sheetPr codeName="Sheet8">
    <tabColor rgb="FF253268"/>
  </sheetPr>
  <dimension ref="A1:B13"/>
  <sheetViews>
    <sheetView workbookViewId="0"/>
  </sheetViews>
  <sheetFormatPr defaultRowHeight="14.45"/>
  <cols>
    <col min="1" max="1" width="50.5703125" customWidth="1"/>
    <col min="2" max="2" width="20.5703125" customWidth="1"/>
    <col min="3" max="8" width="16.5703125" customWidth="1"/>
  </cols>
  <sheetData>
    <row r="1" spans="1:2" ht="30" customHeight="1">
      <c r="A1" s="87" t="s">
        <v>103</v>
      </c>
      <c r="B1" s="7"/>
    </row>
    <row r="2" spans="1:2" ht="20.100000000000001" customHeight="1">
      <c r="A2" s="24" t="s">
        <v>53</v>
      </c>
      <c r="B2" s="7"/>
    </row>
    <row r="3" spans="1:2" s="25" customFormat="1" ht="20.100000000000001" customHeight="1">
      <c r="A3" s="47" t="s">
        <v>79</v>
      </c>
      <c r="B3" s="14"/>
    </row>
    <row r="4" spans="1:2" ht="50.25" customHeight="1">
      <c r="A4" s="4" t="s">
        <v>82</v>
      </c>
      <c r="B4" s="48" t="s">
        <v>83</v>
      </c>
    </row>
    <row r="5" spans="1:2" ht="20.100000000000001" customHeight="1">
      <c r="A5" s="34" t="s">
        <v>84</v>
      </c>
      <c r="B5" s="119">
        <v>153</v>
      </c>
    </row>
    <row r="6" spans="1:2" ht="20.100000000000001" customHeight="1">
      <c r="A6" s="34" t="s">
        <v>85</v>
      </c>
      <c r="B6" s="119">
        <v>152</v>
      </c>
    </row>
    <row r="7" spans="1:2" ht="20.100000000000001" customHeight="1">
      <c r="A7" s="34" t="s">
        <v>86</v>
      </c>
      <c r="B7" s="119">
        <v>137</v>
      </c>
    </row>
    <row r="8" spans="1:2" ht="20.100000000000001" customHeight="1">
      <c r="A8" s="34" t="s">
        <v>87</v>
      </c>
      <c r="B8" s="119">
        <v>103</v>
      </c>
    </row>
    <row r="9" spans="1:2" ht="20.100000000000001" customHeight="1" thickBot="1">
      <c r="A9" s="35" t="s">
        <v>88</v>
      </c>
      <c r="B9" s="120">
        <v>112</v>
      </c>
    </row>
    <row r="10" spans="1:2" ht="20.100000000000001" customHeight="1" thickTop="1">
      <c r="A10" s="34" t="s">
        <v>89</v>
      </c>
      <c r="B10" s="91">
        <v>99</v>
      </c>
    </row>
    <row r="11" spans="1:2" ht="20.45" customHeight="1">
      <c r="A11" s="34" t="s">
        <v>90</v>
      </c>
      <c r="B11" s="119">
        <v>113</v>
      </c>
    </row>
    <row r="12" spans="1:2" ht="20.45" customHeight="1">
      <c r="A12" s="34" t="s">
        <v>91</v>
      </c>
      <c r="B12" s="119">
        <v>100</v>
      </c>
    </row>
    <row r="13" spans="1:2" ht="19.5" customHeight="1">
      <c r="A13" s="34" t="s">
        <v>92</v>
      </c>
      <c r="B13" s="91">
        <v>105</v>
      </c>
    </row>
  </sheetData>
  <pageMargins left="0.7" right="0.7" top="0.75" bottom="0.75" header="0.3" footer="0.3"/>
  <pageSetup paperSize="0"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C50F-26BC-4E8A-AEAE-E73F9869693C}">
  <sheetPr codeName="Sheet9">
    <tabColor rgb="FF253268"/>
  </sheetPr>
  <dimension ref="A1:B13"/>
  <sheetViews>
    <sheetView workbookViewId="0"/>
  </sheetViews>
  <sheetFormatPr defaultRowHeight="14.45"/>
  <cols>
    <col min="1" max="1" width="50.5703125" customWidth="1"/>
    <col min="2" max="2" width="20.5703125" customWidth="1"/>
    <col min="3" max="8" width="16.5703125" customWidth="1"/>
  </cols>
  <sheetData>
    <row r="1" spans="1:2" ht="30" customHeight="1">
      <c r="A1" s="87" t="s">
        <v>104</v>
      </c>
      <c r="B1" s="7"/>
    </row>
    <row r="2" spans="1:2" ht="20.100000000000001" customHeight="1">
      <c r="A2" s="24" t="s">
        <v>53</v>
      </c>
      <c r="B2" s="7"/>
    </row>
    <row r="3" spans="1:2" ht="20.100000000000001" customHeight="1">
      <c r="A3" s="47" t="s">
        <v>79</v>
      </c>
      <c r="B3" s="14"/>
    </row>
    <row r="4" spans="1:2" ht="50.25" customHeight="1">
      <c r="A4" s="4" t="s">
        <v>82</v>
      </c>
      <c r="B4" s="48" t="s">
        <v>83</v>
      </c>
    </row>
    <row r="5" spans="1:2" ht="20.100000000000001" customHeight="1">
      <c r="A5" s="34" t="s">
        <v>84</v>
      </c>
      <c r="B5" s="119">
        <v>158</v>
      </c>
    </row>
    <row r="6" spans="1:2" ht="20.100000000000001" customHeight="1">
      <c r="A6" s="34" t="s">
        <v>85</v>
      </c>
      <c r="B6" s="119">
        <v>154</v>
      </c>
    </row>
    <row r="7" spans="1:2" ht="20.100000000000001" customHeight="1">
      <c r="A7" s="34" t="s">
        <v>86</v>
      </c>
      <c r="B7" s="119">
        <v>153</v>
      </c>
    </row>
    <row r="8" spans="1:2" ht="20.100000000000001" customHeight="1">
      <c r="A8" s="34" t="s">
        <v>87</v>
      </c>
      <c r="B8" s="119">
        <v>148</v>
      </c>
    </row>
    <row r="9" spans="1:2" ht="20.100000000000001" customHeight="1" thickBot="1">
      <c r="A9" s="35" t="s">
        <v>88</v>
      </c>
      <c r="B9" s="120">
        <v>156</v>
      </c>
    </row>
    <row r="10" spans="1:2" ht="20.100000000000001" customHeight="1" thickTop="1">
      <c r="A10" s="34" t="s">
        <v>89</v>
      </c>
      <c r="B10" s="91">
        <v>102</v>
      </c>
    </row>
    <row r="11" spans="1:2" ht="20.45" customHeight="1">
      <c r="A11" s="34" t="s">
        <v>90</v>
      </c>
      <c r="B11" s="119">
        <v>143</v>
      </c>
    </row>
    <row r="12" spans="1:2" ht="20.45" customHeight="1">
      <c r="A12" s="34" t="s">
        <v>91</v>
      </c>
      <c r="B12" s="119">
        <v>136</v>
      </c>
    </row>
    <row r="13" spans="1:2" ht="19.5" customHeight="1">
      <c r="A13" s="34" t="s">
        <v>92</v>
      </c>
      <c r="B13" s="91">
        <v>125</v>
      </c>
    </row>
  </sheetData>
  <pageMargins left="0.7" right="0.7" top="0.75" bottom="0.75" header="0.3" footer="0.3"/>
  <pageSetup paperSize="0"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Ritchie, Iain</cp:lastModifiedBy>
  <cp:revision>1</cp:revision>
  <dcterms:created xsi:type="dcterms:W3CDTF">2024-07-29T10:19:53Z</dcterms:created>
  <dcterms:modified xsi:type="dcterms:W3CDTF">2025-07-18T14:58:03Z</dcterms:modified>
  <cp:category/>
  <cp:contentStatus/>
</cp:coreProperties>
</file>