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https://offrailroad.sharepoint.com/sites/IGP-Highways/Shared Documents/Performance monitoring/2024-25 Annual Assessment/Draft data tables/"/>
    </mc:Choice>
  </mc:AlternateContent>
  <xr:revisionPtr revIDLastSave="1088" documentId="13_ncr:1_{4B534219-C7C3-424E-9366-70CD039B47E9}" xr6:coauthVersionLast="47" xr6:coauthVersionMax="47" xr10:uidLastSave="{AEC8C940-2C9D-4FED-8771-548D819E4852}"/>
  <bookViews>
    <workbookView xWindow="-110" yWindow="-110" windowWidth="19420" windowHeight="11500" tabRatio="813" xr2:uid="{024D1EB9-BD75-4922-9F22-4AFD8F6AF6F3}"/>
  </bookViews>
  <sheets>
    <sheet name="Cover_sheet" sheetId="4" r:id="rId1"/>
    <sheet name="Notes " sheetId="5" r:id="rId2"/>
    <sheet name="Table_of_contents" sheetId="12" r:id="rId3"/>
    <sheet name="Table_3a" sheetId="6" r:id="rId4"/>
    <sheet name="Table_3b" sheetId="7" r:id="rId5"/>
    <sheet name="Table_3c" sheetId="8" r:id="rId6"/>
    <sheet name="Table_3d" sheetId="9" r:id="rId7"/>
    <sheet name="Table_3e" sheetId="13" r:id="rId8"/>
    <sheet name="data" sheetId="14" state="veryHidden" r:id="rId9"/>
    <sheet name="workings" sheetId="17" state="veryHidden" r:id="rId10"/>
  </sheets>
  <definedNames>
    <definedName name="Slicer_KPI_PI">#N/A</definedName>
    <definedName name="Slicer_Year1">#N/A</definedName>
  </definedNames>
  <calcPr calcId="191028"/>
  <pivotCaches>
    <pivotCache cacheId="24"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4" l="1"/>
  <c r="E27" i="14"/>
  <c r="F27" i="14"/>
  <c r="G27" i="14"/>
  <c r="H27" i="14"/>
  <c r="I27" i="14"/>
  <c r="J27" i="14"/>
  <c r="B30" i="14"/>
  <c r="B27" i="14"/>
  <c r="D23" i="14"/>
  <c r="B23" i="14"/>
  <c r="D19" i="14"/>
  <c r="E19" i="14"/>
  <c r="F19" i="14"/>
  <c r="G19" i="14"/>
  <c r="H19" i="14"/>
  <c r="I19" i="14"/>
  <c r="J19" i="14"/>
  <c r="B19" i="14"/>
  <c r="D10" i="14"/>
  <c r="E10" i="14"/>
  <c r="F10" i="14"/>
  <c r="G10" i="14"/>
  <c r="H10" i="14"/>
  <c r="I10" i="14"/>
  <c r="J10" i="14"/>
  <c r="B10" i="14"/>
  <c r="D9" i="14"/>
  <c r="E9" i="14"/>
  <c r="F9" i="14"/>
  <c r="G9" i="14"/>
  <c r="H9" i="14"/>
  <c r="I9" i="14"/>
  <c r="J9" i="14"/>
  <c r="A58" i="17" l="1"/>
  <c r="H58" i="17" s="1"/>
  <c r="A26" i="17"/>
  <c r="D26" i="14" l="1"/>
  <c r="E26" i="14"/>
  <c r="F26" i="14"/>
  <c r="G26" i="14"/>
  <c r="H26" i="14"/>
  <c r="I26" i="14"/>
  <c r="J26" i="14"/>
  <c r="D22" i="14"/>
  <c r="D18" i="14"/>
  <c r="E18" i="14"/>
  <c r="F18" i="14"/>
  <c r="G18" i="14"/>
  <c r="H18" i="14"/>
  <c r="I18" i="14"/>
  <c r="J18" i="14"/>
  <c r="B31" i="14"/>
  <c r="B26" i="14"/>
  <c r="B22" i="14"/>
  <c r="B18" i="14"/>
  <c r="B9" i="14"/>
  <c r="B11" i="14"/>
  <c r="B12" i="14"/>
  <c r="B13" i="14"/>
  <c r="B14" i="14"/>
  <c r="B15" i="14"/>
  <c r="A23" i="17" l="1"/>
  <c r="A24" i="17"/>
  <c r="E16" i="14"/>
  <c r="F16" i="14"/>
  <c r="G16" i="14"/>
  <c r="H16" i="14"/>
  <c r="I16" i="14"/>
  <c r="J16" i="14"/>
  <c r="E17" i="14"/>
  <c r="F17" i="14"/>
  <c r="G17" i="14"/>
  <c r="H17" i="14"/>
  <c r="I17" i="14"/>
  <c r="J17" i="14"/>
  <c r="D17" i="14"/>
  <c r="D16" i="14"/>
  <c r="A25" i="17" l="1"/>
  <c r="A20" i="14" l="1"/>
  <c r="D20" i="14" s="1"/>
  <c r="B28" i="14" l="1"/>
  <c r="B29" i="14"/>
  <c r="E25" i="14"/>
  <c r="F25" i="14"/>
  <c r="G25" i="14"/>
  <c r="H25" i="14"/>
  <c r="I25" i="14"/>
  <c r="J25" i="14"/>
  <c r="J24" i="14"/>
  <c r="I24" i="14"/>
  <c r="H24" i="14"/>
  <c r="G24" i="14"/>
  <c r="F24" i="14"/>
  <c r="E24" i="14"/>
  <c r="D24" i="14"/>
  <c r="D25" i="14"/>
  <c r="B24" i="14"/>
  <c r="B25" i="14"/>
  <c r="D21" i="14"/>
  <c r="B20" i="14"/>
  <c r="B21" i="14"/>
  <c r="B16" i="14"/>
  <c r="B17" i="14"/>
  <c r="G3" i="14"/>
  <c r="H3" i="14"/>
  <c r="I3" i="14"/>
  <c r="J3" i="14"/>
  <c r="G4" i="14"/>
  <c r="H4" i="14"/>
  <c r="I4" i="14"/>
  <c r="J4" i="14"/>
  <c r="G5" i="14"/>
  <c r="H5" i="14"/>
  <c r="I5" i="14"/>
  <c r="J5" i="14"/>
  <c r="G6" i="14"/>
  <c r="H6" i="14"/>
  <c r="I6" i="14"/>
  <c r="J6" i="14"/>
  <c r="G7" i="14"/>
  <c r="H7" i="14"/>
  <c r="I7" i="14"/>
  <c r="J7" i="14"/>
  <c r="G8" i="14"/>
  <c r="H8" i="14"/>
  <c r="I8" i="14"/>
  <c r="J8" i="14"/>
  <c r="J2" i="14"/>
  <c r="I2" i="14"/>
  <c r="H2" i="14"/>
  <c r="G2" i="14"/>
  <c r="F2" i="14"/>
  <c r="F3" i="14"/>
  <c r="F4" i="14"/>
  <c r="F5" i="14"/>
  <c r="F6" i="14"/>
  <c r="F7" i="14"/>
  <c r="F8" i="14"/>
  <c r="E2" i="14"/>
  <c r="E3" i="14"/>
  <c r="E4" i="14"/>
  <c r="E5" i="14"/>
  <c r="E6" i="14"/>
  <c r="E7" i="14"/>
  <c r="E8" i="14"/>
  <c r="D2" i="14"/>
  <c r="D3" i="14"/>
  <c r="D4" i="14"/>
  <c r="D5" i="14"/>
  <c r="D6" i="14"/>
  <c r="D7" i="14"/>
  <c r="D8" i="14"/>
  <c r="B8" i="14"/>
  <c r="B7" i="14"/>
  <c r="B6" i="14"/>
  <c r="B5" i="14"/>
  <c r="B4" i="14"/>
  <c r="B3" i="14"/>
  <c r="B2" i="14"/>
  <c r="B58" i="17" l="1"/>
  <c r="D58" i="17"/>
  <c r="E58" i="17"/>
  <c r="F58" i="17"/>
  <c r="G58" i="17"/>
  <c r="C58" i="17"/>
  <c r="B62" i="17" l="1"/>
  <c r="B61" i="17"/>
  <c r="B64" i="17" s="1"/>
  <c r="B65" i="17" l="1"/>
  <c r="B68" i="17" s="1"/>
  <c r="E62" i="17"/>
  <c r="I62" i="17" s="1"/>
  <c r="B67" i="17"/>
  <c r="D64" i="17"/>
  <c r="D65" i="17"/>
  <c r="E61" i="17"/>
  <c r="I61" i="17" s="1"/>
  <c r="K61" i="17" s="1"/>
  <c r="K62" i="17" l="1"/>
  <c r="F62" i="17"/>
  <c r="F61" i="17"/>
  <c r="A70" i="17" l="1"/>
</calcChain>
</file>

<file path=xl/sharedStrings.xml><?xml version="1.0" encoding="utf-8"?>
<sst xmlns="http://schemas.openxmlformats.org/spreadsheetml/2006/main" count="379" uniqueCount="132">
  <si>
    <t>Table 3: A well maintained and resilient network, England's strategic road network, April 2015 to March 2025</t>
  </si>
  <si>
    <r>
      <t xml:space="preserve">The Performance Specification (PS) sets out what the government expects National Highways to achieve in that road period. The first road period (road period 1) covered April 2015 to March 2020. The second road period (road period 2) covered April 2020 to March 2025. The PS includes a range of quantitative performance measures that ORR uses to hold National Highways to account for </t>
    </r>
    <r>
      <rPr>
        <sz val="12"/>
        <rFont val="Calibri"/>
        <family val="2"/>
      </rPr>
      <t>its</t>
    </r>
    <r>
      <rPr>
        <sz val="12"/>
        <color rgb="FF000000"/>
        <rFont val="Calibri"/>
        <family val="2"/>
      </rPr>
      <t xml:space="preserve">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PS3: A well maintained and resilient network. The KPIs under this theme are:
</t>
    </r>
    <r>
      <rPr>
        <b/>
        <sz val="12"/>
        <color rgb="FF000000"/>
        <rFont val="Calibri"/>
        <family val="2"/>
      </rPr>
      <t xml:space="preserve">KPI: Pavement condition (National-level target for road period 2: Percentage of the network (as defined by HAPMS, excluding DBFOs) in good condition at 96.2% or above at the end of each year.)
</t>
    </r>
    <r>
      <rPr>
        <sz val="12"/>
        <color rgb="FF000000"/>
        <rFont val="Calibri"/>
        <family val="2"/>
      </rPr>
      <t xml:space="preserve">
The PIs under this theme are:
</t>
    </r>
    <r>
      <rPr>
        <b/>
        <sz val="12"/>
        <color rgb="FF000000"/>
        <rFont val="Calibri"/>
        <family val="2"/>
      </rPr>
      <t xml:space="preserve">PI: Structures condition 
PI: Technology availability 
PI: Drainage resilience 
PI: Geotechnical condition </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</si>
  <si>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</si>
  <si>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</si>
  <si>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</si>
  <si>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</si>
  <si>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</si>
  <si>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</si>
  <si>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</si>
  <si>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2024 to March 2025)</t>
  </si>
  <si>
    <t>Performance Monitoring Statement (April 2023 to March 2024)</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</si>
  <si>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</si>
  <si>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</si>
  <si>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</si>
  <si>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</si>
  <si>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</si>
  <si>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(April 2023 to March 2024)</t>
  </si>
  <si>
    <t>Annual Benchmarking Report (Annex A April 2022 to March 2023)</t>
  </si>
  <si>
    <t>Regional Performance Disaggregation (April 2021 to March 2022)</t>
  </si>
  <si>
    <t>Regional Performance Disaggregation (April 2020 to March 2021)</t>
  </si>
  <si>
    <t xml:space="preserve">Regional data for the period before 2020-21 was provided directly to ORR by National Highways. </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</si>
  <si>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</si>
  <si>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</si>
  <si>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</si>
  <si>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</si>
  <si>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</si>
  <si>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</si>
  <si>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</si>
  <si>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</si>
  <si>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</si>
  <si>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</si>
  <si>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</si>
  <si>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</si>
  <si>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</si>
  <si>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</si>
  <si>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</si>
  <si>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</si>
  <si>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Excludes roads operated and maintaned via Design, Build, Finance and Operate (DBFO) arrangements (except for drainage resilience - see note 5)</t>
  </si>
  <si>
    <t>Note 2</t>
  </si>
  <si>
    <t>Pavement condition KPI - change in methodology introduced in 2022-23.</t>
  </si>
  <si>
    <t>Note 3</t>
  </si>
  <si>
    <t>Structures condition PI - privately owned structures are not included.</t>
  </si>
  <si>
    <t>Note 4</t>
  </si>
  <si>
    <t xml:space="preserve">Technology availability PI - This metric is a new metric for road period 2. Metric covers all roadside technology assets on all trunk roads and motorways forming the strategic road network including sections of the M25 managed by DBFO organisations. This metric does not include the Regional Control Centres or National Road Telecommunications Services. </t>
  </si>
  <si>
    <t>Note 5</t>
  </si>
  <si>
    <t>Drainage resilience PI - Coverage includes all trunk roads and motorways forming the strategic road network except DBFO contracts but including the M25.</t>
  </si>
  <si>
    <t>Table of contents</t>
  </si>
  <si>
    <t>This worksheet contains one table.</t>
  </si>
  <si>
    <t>Worksheet name</t>
  </si>
  <si>
    <t>Worksheet title</t>
  </si>
  <si>
    <t>Table_3a</t>
  </si>
  <si>
    <r>
      <t>Pavement condition:</t>
    </r>
    <r>
      <rPr>
        <sz val="12"/>
        <color rgb="FF000000"/>
        <rFont val="Calibri"/>
        <family val="2"/>
      </rPr>
      <t xml:space="preserve"> The percentage of the pavement asset in good condition. This measure reports on the overall strategic road network condition as a result of deterioration of the pavement network due to time and traffic and restoration of condition from the annual investment in maintenance.</t>
    </r>
  </si>
  <si>
    <t>Table_3b</t>
  </si>
  <si>
    <r>
      <t xml:space="preserve">Structures condition: </t>
    </r>
    <r>
      <rPr>
        <sz val="12"/>
        <color rgb="FF000000"/>
        <rFont val="Calibri"/>
        <family val="2"/>
      </rPr>
      <t>Average condition score/critical condition score - % of structures rated 'good' in opinion of inspector.</t>
    </r>
    <r>
      <rPr>
        <b/>
        <sz val="12"/>
        <color rgb="FF000000"/>
        <rFont val="Calibri"/>
        <family val="2"/>
      </rPr>
      <t xml:space="preserve"> </t>
    </r>
    <r>
      <rPr>
        <sz val="12"/>
        <color rgb="FF000000"/>
        <rFont val="Calibri"/>
        <family val="2"/>
      </rPr>
      <t>The metric follows the Structural Condition Index (SCI).</t>
    </r>
  </si>
  <si>
    <t>Table_3c</t>
  </si>
  <si>
    <r>
      <t xml:space="preserve">Technology availability: </t>
    </r>
    <r>
      <rPr>
        <sz val="12"/>
        <color rgb="FF000000"/>
        <rFont val="Calibri"/>
        <family val="2"/>
      </rPr>
      <t>the percentage of time that roadside technology assets are available and functioning.</t>
    </r>
  </si>
  <si>
    <t>Table_3d</t>
  </si>
  <si>
    <r>
      <t xml:space="preserve">Drainage resilience: </t>
    </r>
    <r>
      <rPr>
        <sz val="12"/>
        <color rgb="FF000000"/>
        <rFont val="Calibri"/>
        <family val="2"/>
      </rPr>
      <t>the percentage length of carriageway that does not have an observed significant susceptibility to flooding.</t>
    </r>
  </si>
  <si>
    <t>Table_3e</t>
  </si>
  <si>
    <r>
      <t xml:space="preserve">Geotechnical condition: </t>
    </r>
    <r>
      <rPr>
        <sz val="12"/>
        <color rgb="FF000000"/>
        <rFont val="Calibri"/>
        <family val="2"/>
      </rPr>
      <t>the percentage length of the National Highways' geotechnical asset that is in good condition based on the ability of the asset to perform its function at the time of inspection.</t>
    </r>
  </si>
  <si>
    <t>Table 3a: Pavement condition, England's strategic road network, annual data, April 2015 to March 2025 [Note 1]</t>
  </si>
  <si>
    <t>A road period spans five years. The first road period (road period 1) commenced in April 2015 and ended in March 2020. The second road period (road period 2) commenced in April 2020 and ended in March 2025. A black dividing line is used to separate the two road periods.</t>
  </si>
  <si>
    <r>
      <rPr>
        <b/>
        <sz val="12"/>
        <color rgb="FFEA0000"/>
        <rFont val="Calibri"/>
        <family val="2"/>
      </rPr>
      <t>National-level target for road period 2</t>
    </r>
    <r>
      <rPr>
        <sz val="12"/>
        <color rgb="FFEA0000"/>
        <rFont val="Calibri"/>
        <family val="2"/>
      </rPr>
      <t>: Percentage of the network (as defined by HAPMS, excluding DBFOs) in good condition at 96.2% or above at the end of each year.</t>
    </r>
  </si>
  <si>
    <t>Time period</t>
  </si>
  <si>
    <t>England's strategic road network (percentage)</t>
  </si>
  <si>
    <t>Yorkshire and North East
(percentage)</t>
  </si>
  <si>
    <t>North West
(percentage)</t>
  </si>
  <si>
    <t>Midlands
(percentage)</t>
  </si>
  <si>
    <t>East
(percentage)</t>
  </si>
  <si>
    <t>South East
(percentage)</t>
  </si>
  <si>
    <t>South West
(percentage)</t>
  </si>
  <si>
    <t>April 2015 to March 2016</t>
  </si>
  <si>
    <t>April 2016 to March 2017</t>
  </si>
  <si>
    <t>April 2017 to March 2018</t>
  </si>
  <si>
    <t>April 2018 to March 2019</t>
  </si>
  <si>
    <t>April 2019 to March 2020</t>
  </si>
  <si>
    <t xml:space="preserve">April 2020 to March 2021 </t>
  </si>
  <si>
    <t xml:space="preserve">April 2021 to March 2022 </t>
  </si>
  <si>
    <t>April 2022 to March 2023 [Note 2]</t>
  </si>
  <si>
    <t>April 2023 to March 2024 [Note 2]</t>
  </si>
  <si>
    <t>April 2024 to March 2025 [Note 2]</t>
  </si>
  <si>
    <t>[x]</t>
  </si>
  <si>
    <t>Table 3b: Structures condition, England, annual data, April 2015 to March 2025 [Note 3]</t>
  </si>
  <si>
    <t>April 2020 to March 2021</t>
  </si>
  <si>
    <t>April 2021 to March 2022</t>
  </si>
  <si>
    <t>April 2022 to March 2023</t>
  </si>
  <si>
    <t>April 2023 to March 2024</t>
  </si>
  <si>
    <t>April 2024 to March 2025</t>
  </si>
  <si>
    <t>Table 3c: Technology availability, England's strategic road network, annual data, April 2020 to March 2025 [Note 4]</t>
  </si>
  <si>
    <t>Table 3d: Drainage resilience, England's strategic road network, annual data, April 2020 to March 2025 [Note 1][Note 5]</t>
  </si>
  <si>
    <t>April 2020 to March 2021 [Note 6]</t>
  </si>
  <si>
    <t>Table 3e: Geotechnical condition, England's strategic road network, annual data, April 2020 to March 2025 [Note 1]</t>
  </si>
  <si>
    <t>Period</t>
  </si>
  <si>
    <t>Year</t>
  </si>
  <si>
    <t>KPI/PI</t>
  </si>
  <si>
    <t>National Highways</t>
  </si>
  <si>
    <t>Yorkshire and North East</t>
  </si>
  <si>
    <t xml:space="preserve">North West
</t>
  </si>
  <si>
    <t xml:space="preserve">Midlands
</t>
  </si>
  <si>
    <t xml:space="preserve">East
</t>
  </si>
  <si>
    <t xml:space="preserve">South East
</t>
  </si>
  <si>
    <t xml:space="preserve">South West
</t>
  </si>
  <si>
    <t>Pavement condition</t>
  </si>
  <si>
    <t>Structures condition</t>
  </si>
  <si>
    <t>Technology availability</t>
  </si>
  <si>
    <t>Drainage resilience</t>
  </si>
  <si>
    <t>Geotechnical condition</t>
  </si>
  <si>
    <t>CHARTS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</si>
  <si>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</si>
  <si>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</si>
  <si>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</si>
  <si>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</si>
  <si>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</si>
  <si>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</si>
  <si>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</si>
  <si>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2015-16</t>
  </si>
  <si>
    <t>2016-17</t>
  </si>
  <si>
    <t>2017-18</t>
  </si>
  <si>
    <t>2018-19</t>
  </si>
  <si>
    <t>2019-20</t>
  </si>
  <si>
    <t>2020-21</t>
  </si>
  <si>
    <t>2021-22</t>
  </si>
  <si>
    <t>2022-23</t>
  </si>
  <si>
    <t>2023-24</t>
  </si>
  <si>
    <t>Notes</t>
  </si>
  <si>
    <t>Row Labels</t>
  </si>
  <si>
    <t>Latest year</t>
  </si>
  <si>
    <t>max</t>
  </si>
  <si>
    <t>Absolute value</t>
  </si>
  <si>
    <t>min</t>
  </si>
  <si>
    <t>Best performing</t>
  </si>
  <si>
    <t>Worst performing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</si>
</sst>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18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font>
    <font>
      <sz val="8"/>
      <name val="Calibri"/>
      <family val="2"/>
    </font>
    <font>
      <b/>
      <sz val="14"/>
      <name val="Calibri"/>
      <family val="2"/>
    </font>
    <font>
      <sz val="12"/>
      <color rgb="FF000000"/>
      <name val="Calibri"/>
      <family val="2"/>
      <scheme val="minor"/>
    </font>
    <font>
      <b/>
      <sz val="12"/>
      <name val="Calibri"/>
      <family val="2"/>
    </font>
    <font>
      <b/>
      <sz val="10"/>
      <color theme="0"/>
      <name val="Calibri"/>
      <family val="2"/>
    </font>
    <font>
      <b/>
      <sz val="12"/>
      <color theme="1"/>
      <name val="Calibri"/>
      <family val="2"/>
    </font>
    <font>
      <b/>
      <sz val="11"/>
      <color rgb="FF000000"/>
      <name val="Calibri"/>
      <family val="2"/>
    </font>
    <font>
      <sz val="11"/>
      <name val="Calibri"/>
      <family val="2"/>
    </font>
    <font>
      <b/>
      <sz val="11"/>
      <name val="Calibri"/>
      <family val="2"/>
    </font>
    <font>
      <sz val="12"/>
      <color rgb="FFEA0000"/>
      <name val="Calibri"/>
      <family val="2"/>
    </font>
    <font>
      <b/>
      <sz val="12"/>
      <color rgb="FFEA0000"/>
      <name val="Calibri"/>
      <family val="2"/>
    </font>
    <font>
      <sz val="12"/>
      <color theme="1"/>
      <name val="Calibri"/>
      <family val="2"/>
    </font>
    <font>
      <b/>
      <sz val="12"/>
      <color rgb="FFFF0000"/>
      <name val="Calibri"/>
      <family val="2"/>
    </font>
    <font>
      <b/>
      <sz val="11"/>
      <color theme="1"/>
      <name val="Calibri"/>
      <family val="2"/>
    </font>
    <font>
      <sz val="11"/>
      <color rgb="FFFF0000"/>
      <name val="Calibri"/>
      <family val="2"/>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s>
  <borders count="68">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ck">
        <color indexed="64"/>
      </left>
      <right/>
      <top/>
      <bottom style="thick">
        <color indexed="64"/>
      </bottom>
      <diagonal/>
    </border>
    <border>
      <left/>
      <right/>
      <top/>
      <bottom style="thin">
        <color theme="4" tint="0.39997558519241921"/>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0" fontId="17" fillId="0" borderId="0"/>
    <xf numFmtId="44" fontId="1"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5" fontId="19" fillId="0" borderId="0" applyFont="0" applyFill="0" applyBorder="0" applyProtection="0">
      <alignment horizontal="right"/>
    </xf>
    <xf numFmtId="165"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68" fontId="19" fillId="0" borderId="0" applyFont="0" applyFill="0" applyBorder="0" applyProtection="0">
      <alignment horizontal="right"/>
    </xf>
    <xf numFmtId="168"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67" fontId="19" fillId="0" borderId="0" applyFont="0" applyFill="0" applyBorder="0" applyProtection="0">
      <alignment horizontal="right"/>
    </xf>
    <xf numFmtId="167"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78" fontId="19" fillId="0" borderId="0" applyBorder="0"/>
    <xf numFmtId="0" fontId="39" fillId="51" borderId="12" applyNumberFormat="0" applyAlignment="0" applyProtection="0"/>
    <xf numFmtId="0" fontId="40" fillId="52" borderId="13" applyNumberFormat="0" applyAlignment="0" applyProtection="0"/>
    <xf numFmtId="167" fontId="21" fillId="0" borderId="0" applyFont="0" applyFill="0" applyBorder="0" applyProtection="0">
      <alignment horizontal="right"/>
    </xf>
    <xf numFmtId="169" fontId="21" fillId="0" borderId="0" applyFont="0" applyFill="0" applyBorder="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3" fillId="0" borderId="14" applyNumberFormat="0" applyBorder="0" applyAlignment="0" applyProtection="0">
      <alignment horizontal="right" vertical="center"/>
    </xf>
    <xf numFmtId="179"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0" fontId="56" fillId="0" borderId="0" applyNumberFormat="0" applyFill="0" applyAlignment="0" applyProtection="0"/>
    <xf numFmtId="0" fontId="45" fillId="0" borderId="18" applyNumberFormat="0" applyFill="0" applyAlignment="0" applyProtection="0"/>
    <xf numFmtId="170" fontId="57" fillId="0" borderId="0" applyNumberFormat="0" applyFill="0" applyAlignment="0" applyProtection="0"/>
    <xf numFmtId="0" fontId="45" fillId="0" borderId="0" applyNumberFormat="0" applyFill="0" applyBorder="0" applyAlignment="0" applyProtection="0"/>
    <xf numFmtId="170" fontId="58" fillId="0" borderId="0" applyNumberFormat="0" applyFill="0" applyAlignment="0" applyProtection="0"/>
    <xf numFmtId="170" fontId="26" fillId="0" borderId="0" applyNumberFormat="0" applyFill="0" applyAlignment="0" applyProtection="0"/>
    <xf numFmtId="170" fontId="27" fillId="0" borderId="0" applyNumberFormat="0" applyFill="0" applyAlignment="0" applyProtection="0"/>
    <xf numFmtId="170" fontId="27" fillId="0" borderId="0" applyNumberFormat="0" applyFont="0" applyFill="0" applyBorder="0" applyAlignment="0" applyProtection="0"/>
    <xf numFmtId="170"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1" fontId="19" fillId="0" borderId="0" applyFont="0" applyFill="0" applyBorder="0" applyProtection="0">
      <alignment horizontal="right"/>
    </xf>
    <xf numFmtId="171"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2" fontId="14" fillId="0" borderId="0">
      <alignment wrapText="1"/>
      <protection locked="0"/>
    </xf>
    <xf numFmtId="172" fontId="14" fillId="0"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14" fillId="0" borderId="0">
      <alignment wrapText="1"/>
      <protection locked="0"/>
    </xf>
    <xf numFmtId="173" fontId="14" fillId="0" borderId="0">
      <alignment wrapText="1"/>
      <protection locked="0"/>
    </xf>
    <xf numFmtId="173" fontId="14" fillId="0" borderId="0">
      <alignment wrapText="1"/>
      <protection locked="0"/>
    </xf>
    <xf numFmtId="173" fontId="14" fillId="0"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14" fillId="0" borderId="0">
      <alignment wrapText="1"/>
      <protection locked="0"/>
    </xf>
    <xf numFmtId="174" fontId="14" fillId="0" borderId="0">
      <alignment wrapText="1"/>
      <protection locked="0"/>
    </xf>
    <xf numFmtId="174" fontId="14" fillId="0"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14" fillId="0" borderId="0">
      <alignment wrapText="1"/>
      <protection locked="0"/>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2" fontId="19" fillId="0" borderId="0" applyNumberFormat="0" applyFont="0" applyBorder="0" applyAlignment="0">
      <alignment horizontal="right" indent="1"/>
    </xf>
    <xf numFmtId="182"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5" fontId="19" fillId="0" borderId="0">
      <protection locked="0"/>
    </xf>
    <xf numFmtId="195" fontId="19" fillId="0" borderId="33">
      <protection locked="0"/>
    </xf>
    <xf numFmtId="10" fontId="19" fillId="57" borderId="9">
      <alignment horizontal="right"/>
    </xf>
    <xf numFmtId="183" fontId="19" fillId="57" borderId="0"/>
    <xf numFmtId="182" fontId="19" fillId="0" borderId="10"/>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0" fontId="79" fillId="53" borderId="9" applyAlignment="0"/>
    <xf numFmtId="182" fontId="80" fillId="64" borderId="0"/>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4" fontId="19" fillId="0" borderId="0">
      <alignment horizontal="right" indent="1"/>
    </xf>
    <xf numFmtId="0" fontId="77" fillId="0" borderId="0" applyNumberFormat="0" applyFill="0" applyBorder="0" applyAlignment="0" applyProtection="0"/>
    <xf numFmtId="183" fontId="79" fillId="82" borderId="9">
      <alignment horizontal="center"/>
    </xf>
    <xf numFmtId="184" fontId="81" fillId="82" borderId="9"/>
    <xf numFmtId="187"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4"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3" fontId="19" fillId="60" borderId="9">
      <protection locked="0"/>
    </xf>
    <xf numFmtId="0" fontId="91" fillId="0" borderId="0">
      <alignment horizontal="left"/>
    </xf>
    <xf numFmtId="188" fontId="19" fillId="80" borderId="9"/>
    <xf numFmtId="0" fontId="58" fillId="0" borderId="0">
      <alignment horizontal="left" indent="1"/>
    </xf>
    <xf numFmtId="0" fontId="58" fillId="0" borderId="0">
      <alignment horizontal="left" indent="1"/>
    </xf>
    <xf numFmtId="0" fontId="58" fillId="0" borderId="0">
      <alignment horizontal="left" indent="1"/>
    </xf>
    <xf numFmtId="184" fontId="82" fillId="58" borderId="9"/>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6" fontId="19" fillId="0" borderId="0">
      <alignment horizontal="right" indent="1"/>
    </xf>
    <xf numFmtId="4" fontId="19" fillId="0" borderId="0">
      <alignment horizontal="right" indent="1"/>
    </xf>
    <xf numFmtId="182" fontId="19" fillId="0" borderId="0">
      <alignment horizontal="right" indent="1"/>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2" fontId="92" fillId="57" borderId="38" applyNumberFormat="0">
      <alignment vertical="center"/>
    </xf>
    <xf numFmtId="192" fontId="92" fillId="84" borderId="38" applyNumberFormat="0">
      <alignment vertical="center"/>
    </xf>
    <xf numFmtId="192" fontId="92" fillId="82" borderId="38" applyNumberFormat="0">
      <alignment vertical="center"/>
    </xf>
    <xf numFmtId="192" fontId="92" fillId="80" borderId="38" applyNumberFormat="0">
      <alignment vertical="center"/>
    </xf>
    <xf numFmtId="192" fontId="92" fillId="62" borderId="38" applyNumberFormat="0">
      <alignment vertical="center"/>
    </xf>
    <xf numFmtId="192" fontId="92" fillId="53" borderId="38" applyNumberFormat="0">
      <alignment vertical="center"/>
    </xf>
    <xf numFmtId="192" fontId="92" fillId="65" borderId="38" applyNumberFormat="0">
      <alignment vertical="center"/>
    </xf>
    <xf numFmtId="192" fontId="92" fillId="85" borderId="38" applyNumberFormat="0">
      <alignment vertical="center"/>
    </xf>
    <xf numFmtId="192" fontId="92" fillId="69" borderId="38" applyNumberFormat="0">
      <alignment vertical="center"/>
    </xf>
    <xf numFmtId="192" fontId="92" fillId="86" borderId="38" applyNumberFormat="0">
      <alignment vertical="center"/>
    </xf>
    <xf numFmtId="192" fontId="93" fillId="60" borderId="38">
      <protection locked="0"/>
    </xf>
    <xf numFmtId="192" fontId="93" fillId="58" borderId="38">
      <protection locked="0"/>
    </xf>
    <xf numFmtId="192" fontId="94" fillId="58" borderId="39" applyNumberFormat="0" applyFont="0" applyFill="0" applyAlignment="0" applyProtection="0">
      <protection locked="0"/>
    </xf>
    <xf numFmtId="192" fontId="35" fillId="0" borderId="0" applyNumberFormat="0" applyFill="0">
      <alignment horizontal="left" vertical="top"/>
    </xf>
    <xf numFmtId="192" fontId="35" fillId="0" borderId="0" applyNumberFormat="0" applyFill="0">
      <alignment horizontal="left" vertical="top"/>
    </xf>
    <xf numFmtId="192"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0" fontId="19" fillId="57" borderId="0">
      <alignment horizontal="right"/>
    </xf>
    <xf numFmtId="0" fontId="49" fillId="81" borderId="23" applyNumberFormat="0" applyAlignment="0" applyProtection="0"/>
    <xf numFmtId="0" fontId="49" fillId="81" borderId="23" applyNumberFormat="0" applyAlignment="0" applyProtection="0"/>
    <xf numFmtId="191"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4"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4" fontId="19" fillId="72" borderId="9"/>
    <xf numFmtId="0" fontId="26" fillId="0" borderId="0">
      <alignment horizontal="left"/>
    </xf>
    <xf numFmtId="41" fontId="19" fillId="0" borderId="0" applyFont="0" applyFill="0" applyBorder="0" applyAlignment="0" applyProtection="0"/>
    <xf numFmtId="41" fontId="19" fillId="0" borderId="0" applyFont="0" applyFill="0" applyBorder="0" applyAlignment="0" applyProtection="0"/>
    <xf numFmtId="0" fontId="21" fillId="0" borderId="0">
      <alignment vertical="top"/>
    </xf>
    <xf numFmtId="191"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4"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0" fontId="19" fillId="0" borderId="0"/>
    <xf numFmtId="180" fontId="19" fillId="0" borderId="0"/>
    <xf numFmtId="180" fontId="19" fillId="0" borderId="0"/>
    <xf numFmtId="180"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8"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5" fillId="0" borderId="0" applyFont="0" applyFill="0" applyBorder="0" applyAlignment="0" applyProtection="0"/>
    <xf numFmtId="43" fontId="103" fillId="0" borderId="0" applyFont="0" applyFill="0" applyBorder="0" applyAlignment="0" applyProtection="0"/>
    <xf numFmtId="43" fontId="17"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44"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79"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8" fillId="0" borderId="0"/>
    <xf numFmtId="197" fontId="18" fillId="0" borderId="0"/>
    <xf numFmtId="0" fontId="103" fillId="0" borderId="0"/>
    <xf numFmtId="0" fontId="103"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8" fillId="0" borderId="0"/>
    <xf numFmtId="197" fontId="18" fillId="0" borderId="0"/>
    <xf numFmtId="0" fontId="103" fillId="0" borderId="0"/>
    <xf numFmtId="0" fontId="1" fillId="0" borderId="0"/>
    <xf numFmtId="0" fontId="18" fillId="0" borderId="0"/>
    <xf numFmtId="196" fontId="18" fillId="0" borderId="0"/>
    <xf numFmtId="0" fontId="17"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0" fontId="122" fillId="0" borderId="0"/>
    <xf numFmtId="0" fontId="19" fillId="0" borderId="0"/>
    <xf numFmtId="0" fontId="1" fillId="0" borderId="0"/>
    <xf numFmtId="0" fontId="17" fillId="0" borderId="0"/>
    <xf numFmtId="0" fontId="19" fillId="0" borderId="0"/>
    <xf numFmtId="196" fontId="19" fillId="0" borderId="0"/>
    <xf numFmtId="0" fontId="1" fillId="0" borderId="0"/>
    <xf numFmtId="0" fontId="1" fillId="0" borderId="0"/>
    <xf numFmtId="0" fontId="1" fillId="0" borderId="0"/>
    <xf numFmtId="0" fontId="122" fillId="0" borderId="0"/>
    <xf numFmtId="196" fontId="19" fillId="0" borderId="0"/>
    <xf numFmtId="196" fontId="19" fillId="0" borderId="0"/>
    <xf numFmtId="196" fontId="19" fillId="0" borderId="0"/>
    <xf numFmtId="196" fontId="19" fillId="0" borderId="0"/>
    <xf numFmtId="0" fontId="18"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9" fillId="0" borderId="0"/>
    <xf numFmtId="197"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6" fontId="19" fillId="0" borderId="0"/>
    <xf numFmtId="196"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6"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43"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199"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0" fontId="21" fillId="0" borderId="0"/>
    <xf numFmtId="201" fontId="21" fillId="0" borderId="0"/>
    <xf numFmtId="202" fontId="21" fillId="0" borderId="0"/>
    <xf numFmtId="200"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alignment horizontal="right"/>
      <protection locked="0"/>
    </xf>
    <xf numFmtId="207" fontId="21" fillId="0" borderId="0">
      <alignment horizontal="right"/>
      <protection locked="0"/>
    </xf>
    <xf numFmtId="208" fontId="21" fillId="0" borderId="0"/>
    <xf numFmtId="209" fontId="21" fillId="0" borderId="0"/>
    <xf numFmtId="210" fontId="21" fillId="0" borderId="0"/>
    <xf numFmtId="208"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43" fontId="17" fillId="0" borderId="0" applyFont="0" applyFill="0" applyBorder="0" applyAlignment="0" applyProtection="0"/>
    <xf numFmtId="43" fontId="1" fillId="0" borderId="0" applyFont="0" applyFill="0" applyBorder="0" applyAlignment="0" applyProtection="0"/>
    <xf numFmtId="181" fontId="13"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9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9" fontId="133" fillId="98" borderId="0">
      <alignment vertical="center"/>
    </xf>
    <xf numFmtId="49" fontId="133" fillId="99" borderId="0">
      <alignment vertical="center"/>
    </xf>
    <xf numFmtId="200"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43">
      <protection locked="0"/>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08"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1" fontId="21" fillId="60" borderId="43">
      <alignment horizontal="left" indent="1"/>
      <protection locked="0"/>
    </xf>
    <xf numFmtId="211" fontId="21" fillId="60" borderId="43">
      <alignment horizontal="left" indent="1"/>
      <protection locked="0"/>
    </xf>
    <xf numFmtId="211"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2" fontId="14" fillId="78" borderId="0">
      <alignment horizontal="right"/>
    </xf>
    <xf numFmtId="15" fontId="135" fillId="109" borderId="0" applyNumberFormat="0" applyFont="0" applyBorder="0" applyAlignment="0" applyProtection="0"/>
    <xf numFmtId="199"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4" fontId="29" fillId="0" borderId="0" applyFont="0" applyFill="0" applyBorder="0" applyAlignment="0" applyProtection="0"/>
    <xf numFmtId="215" fontId="29" fillId="0" borderId="0" applyFont="0" applyFill="0" applyBorder="0" applyAlignment="0" applyProtection="0"/>
    <xf numFmtId="216" fontId="29" fillId="0" borderId="0" applyFont="0" applyFill="0" applyBorder="0" applyAlignment="0" applyProtection="0"/>
    <xf numFmtId="217"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0" fontId="156" fillId="0" borderId="0">
      <alignment horizontal="right"/>
    </xf>
    <xf numFmtId="199"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198"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18" fontId="135" fillId="0" borderId="0" applyFont="0" applyFill="0" applyBorder="0" applyAlignment="0" applyProtection="0"/>
    <xf numFmtId="0" fontId="1" fillId="0" borderId="0"/>
    <xf numFmtId="0" fontId="19" fillId="80" borderId="9">
      <protection locked="0"/>
    </xf>
    <xf numFmtId="195" fontId="19" fillId="0" borderId="33">
      <protection locked="0"/>
    </xf>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4" fontId="79" fillId="80" borderId="9"/>
    <xf numFmtId="184" fontId="79" fillId="80" borderId="9"/>
    <xf numFmtId="184" fontId="79" fillId="80" borderId="9"/>
    <xf numFmtId="184" fontId="79" fillId="80" borderId="9"/>
    <xf numFmtId="184" fontId="79" fillId="80" borderId="9"/>
    <xf numFmtId="183" fontId="81" fillId="60" borderId="9"/>
    <xf numFmtId="184" fontId="79" fillId="80" borderId="9"/>
    <xf numFmtId="195" fontId="19" fillId="0" borderId="33">
      <protection locked="0"/>
    </xf>
    <xf numFmtId="187"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4"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4" fontId="79" fillId="80" borderId="9"/>
    <xf numFmtId="184" fontId="79" fillId="80" borderId="9"/>
    <xf numFmtId="184" fontId="79" fillId="80" borderId="9"/>
    <xf numFmtId="184" fontId="79" fillId="80" borderId="9"/>
    <xf numFmtId="184" fontId="79" fillId="80" borderId="9"/>
    <xf numFmtId="184" fontId="79" fillId="80" borderId="9"/>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80" borderId="9">
      <protection locked="0"/>
    </xf>
    <xf numFmtId="0" fontId="19" fillId="80" borderId="9">
      <protection locked="0"/>
    </xf>
    <xf numFmtId="184" fontId="79" fillId="80" borderId="9"/>
    <xf numFmtId="184" fontId="79" fillId="80" borderId="9"/>
    <xf numFmtId="184" fontId="79" fillId="80" borderId="9"/>
    <xf numFmtId="184" fontId="79" fillId="80" borderId="9"/>
    <xf numFmtId="184" fontId="79" fillId="80" borderId="9"/>
    <xf numFmtId="184" fontId="79" fillId="80" borderId="9"/>
    <xf numFmtId="41"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0" fontId="17" fillId="0" borderId="0"/>
    <xf numFmtId="0" fontId="1" fillId="0" borderId="0"/>
    <xf numFmtId="0" fontId="1" fillId="0" borderId="0"/>
    <xf numFmtId="0" fontId="17" fillId="0" borderId="0"/>
    <xf numFmtId="184" fontId="79" fillId="80" borderId="9"/>
    <xf numFmtId="184" fontId="79" fillId="80" borderId="9"/>
    <xf numFmtId="184" fontId="79" fillId="80" borderId="9"/>
    <xf numFmtId="184" fontId="79" fillId="80" borderId="9"/>
    <xf numFmtId="184" fontId="79" fillId="80" borderId="9"/>
    <xf numFmtId="184" fontId="79" fillId="80" borderId="9"/>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0" fontId="17" fillId="0" borderId="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9"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107">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3" fillId="0" borderId="0" xfId="1" applyFill="1" applyAlignment="1">
      <alignment readingOrder="1"/>
    </xf>
    <xf numFmtId="0" fontId="6" fillId="0" borderId="0" xfId="0" applyFont="1" applyAlignment="1">
      <alignment readingOrder="1"/>
    </xf>
    <xf numFmtId="0" fontId="9" fillId="0" borderId="0" xfId="0" applyFont="1" applyAlignment="1">
      <alignment horizontal="left" wrapText="1" readingOrder="1"/>
    </xf>
    <xf numFmtId="0" fontId="0" fillId="0" borderId="0" xfId="0" applyAlignment="1">
      <alignment horizontal="right"/>
    </xf>
    <xf numFmtId="0" fontId="0" fillId="0" borderId="0" xfId="0" applyAlignment="1">
      <alignment horizontal="center"/>
    </xf>
    <xf numFmtId="0" fontId="163" fillId="0" borderId="0" xfId="0" applyFont="1" applyAlignment="1">
      <alignment horizontal="left" vertical="top"/>
    </xf>
    <xf numFmtId="0" fontId="3"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165" fontId="9" fillId="0" borderId="0" xfId="0" applyNumberFormat="1" applyFont="1" applyAlignment="1">
      <alignment horizontal="right" vertical="top" wrapText="1" readingOrder="1"/>
    </xf>
    <xf numFmtId="0" fontId="6" fillId="0" borderId="0" xfId="5" applyFont="1" applyAlignment="1">
      <alignment horizontal="left" vertical="top" wrapText="1"/>
    </xf>
    <xf numFmtId="0" fontId="6" fillId="0" borderId="0" xfId="0" applyFont="1" applyAlignment="1">
      <alignment horizontal="left" readingOrder="1"/>
    </xf>
    <xf numFmtId="0" fontId="6" fillId="0" borderId="0" xfId="0" applyFont="1" applyAlignment="1">
      <alignment horizontal="left" vertical="center"/>
    </xf>
    <xf numFmtId="0" fontId="9" fillId="0" borderId="0" xfId="0" applyFont="1" applyAlignment="1">
      <alignment wrapText="1"/>
    </xf>
    <xf numFmtId="0" fontId="9" fillId="0" borderId="0" xfId="2" applyFont="1" applyFill="1" applyBorder="1" applyAlignment="1">
      <alignment horizontal="left" wrapText="1" readingOrder="1"/>
    </xf>
    <xf numFmtId="0" fontId="7" fillId="0" borderId="0" xfId="4" applyAlignment="1">
      <alignment vertical="top" wrapText="1"/>
    </xf>
    <xf numFmtId="0" fontId="7" fillId="0" borderId="0" xfId="4" applyFill="1" applyAlignment="1">
      <alignment wrapText="1"/>
    </xf>
    <xf numFmtId="165" fontId="9" fillId="0" borderId="54" xfId="0" applyNumberFormat="1" applyFont="1" applyBorder="1" applyAlignment="1">
      <alignment horizontal="right" vertical="top" wrapText="1" readingOrder="1"/>
    </xf>
    <xf numFmtId="0" fontId="4" fillId="0" borderId="0" xfId="0" applyFont="1" applyAlignment="1">
      <alignment vertical="top" wrapText="1"/>
    </xf>
    <xf numFmtId="0" fontId="166"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6" fillId="0" borderId="0" xfId="0" applyFont="1" applyAlignment="1">
      <alignment horizontal="left" wrapText="1"/>
    </xf>
    <xf numFmtId="0" fontId="7" fillId="0" borderId="0" xfId="4"/>
    <xf numFmtId="0" fontId="168" fillId="0" borderId="0" xfId="0" applyFont="1" applyAlignment="1">
      <alignment horizontal="left" wrapText="1" readingOrder="1"/>
    </xf>
    <xf numFmtId="0" fontId="168" fillId="0" borderId="53" xfId="0" applyFont="1" applyBorder="1" applyAlignment="1">
      <alignment horizontal="left" wrapText="1" readingOrder="1"/>
    </xf>
    <xf numFmtId="165" fontId="6" fillId="0" borderId="54" xfId="0" applyNumberFormat="1" applyFont="1" applyBorder="1" applyAlignment="1">
      <alignment horizontal="right"/>
    </xf>
    <xf numFmtId="165" fontId="6" fillId="0" borderId="0" xfId="0" applyNumberFormat="1" applyFont="1" applyAlignment="1">
      <alignment horizontal="right"/>
    </xf>
    <xf numFmtId="165" fontId="0" fillId="0" borderId="0" xfId="0" applyNumberFormat="1"/>
    <xf numFmtId="0" fontId="0" fillId="0" borderId="0" xfId="0" pivotButton="1"/>
    <xf numFmtId="0" fontId="0" fillId="0" borderId="0" xfId="0" applyAlignment="1">
      <alignment horizontal="left"/>
    </xf>
    <xf numFmtId="0" fontId="0" fillId="0" borderId="60" xfId="0" applyBorder="1"/>
    <xf numFmtId="0" fontId="171" fillId="0" borderId="62" xfId="0" applyFont="1" applyBorder="1"/>
    <xf numFmtId="2" fontId="0" fillId="0" borderId="0" xfId="55011" applyNumberFormat="1" applyFont="1"/>
    <xf numFmtId="9" fontId="0" fillId="0" borderId="0" xfId="55011" applyFont="1"/>
    <xf numFmtId="0" fontId="172" fillId="0" borderId="0" xfId="0" applyFont="1"/>
    <xf numFmtId="0" fontId="173" fillId="117" borderId="0" xfId="0" applyFont="1" applyFill="1"/>
    <xf numFmtId="0" fontId="0" fillId="117" borderId="0" xfId="0" applyFill="1"/>
    <xf numFmtId="0" fontId="172" fillId="117" borderId="0" xfId="0" applyFont="1" applyFill="1"/>
    <xf numFmtId="0" fontId="3" fillId="0" borderId="0" xfId="1" applyFill="1" applyAlignment="1">
      <alignment horizontal="left" readingOrder="1"/>
    </xf>
    <xf numFmtId="0" fontId="169" fillId="115" borderId="57" xfId="0" applyFont="1" applyFill="1" applyBorder="1" applyAlignment="1">
      <alignment vertical="center"/>
    </xf>
    <xf numFmtId="0" fontId="11" fillId="116" borderId="0" xfId="0" applyFont="1" applyFill="1"/>
    <xf numFmtId="165" fontId="11" fillId="116" borderId="0" xfId="0" applyNumberFormat="1" applyFont="1" applyFill="1" applyAlignment="1">
      <alignment horizontal="center"/>
    </xf>
    <xf numFmtId="0" fontId="11" fillId="0" borderId="0" xfId="0" applyFont="1"/>
    <xf numFmtId="165" fontId="11" fillId="0" borderId="0" xfId="0" applyNumberFormat="1" applyFont="1" applyAlignment="1">
      <alignment horizontal="center"/>
    </xf>
    <xf numFmtId="0" fontId="169" fillId="115" borderId="58" xfId="0" applyFont="1" applyFill="1" applyBorder="1" applyAlignment="1">
      <alignment horizontal="center" vertical="center"/>
    </xf>
    <xf numFmtId="165" fontId="169" fillId="115" borderId="58" xfId="0" applyNumberFormat="1" applyFont="1" applyFill="1" applyBorder="1" applyAlignment="1">
      <alignment horizontal="center" vertical="center" wrapText="1" readingOrder="1"/>
    </xf>
    <xf numFmtId="165" fontId="169" fillId="115" borderId="59" xfId="0" applyNumberFormat="1" applyFont="1" applyFill="1" applyBorder="1" applyAlignment="1">
      <alignment horizontal="center" vertical="center" wrapText="1" readingOrder="1"/>
    </xf>
    <xf numFmtId="0" fontId="168" fillId="116" borderId="63" xfId="0" applyFont="1" applyFill="1" applyBorder="1" applyAlignment="1">
      <alignment horizontal="left" wrapText="1" readingOrder="1"/>
    </xf>
    <xf numFmtId="165" fontId="11" fillId="116" borderId="64" xfId="0" applyNumberFormat="1" applyFont="1" applyFill="1" applyBorder="1" applyAlignment="1">
      <alignment horizontal="center"/>
    </xf>
    <xf numFmtId="0" fontId="168" fillId="0" borderId="63" xfId="0" applyFont="1" applyBorder="1" applyAlignment="1">
      <alignment horizontal="left" wrapText="1" readingOrder="1"/>
    </xf>
    <xf numFmtId="165" fontId="11" fillId="0" borderId="64" xfId="0" applyNumberFormat="1" applyFont="1" applyBorder="1" applyAlignment="1">
      <alignment horizontal="center"/>
    </xf>
    <xf numFmtId="0" fontId="170" fillId="0" borderId="63" xfId="0" applyFont="1" applyBorder="1" applyAlignment="1">
      <alignment horizontal="left" wrapText="1" readingOrder="1"/>
    </xf>
    <xf numFmtId="0" fontId="170" fillId="116" borderId="63" xfId="2" applyFont="1" applyFill="1" applyBorder="1" applyAlignment="1">
      <alignment horizontal="left" wrapText="1" readingOrder="1"/>
    </xf>
    <xf numFmtId="0" fontId="167" fillId="0" borderId="0" xfId="0" applyFont="1" applyAlignment="1">
      <alignment horizontal="left" readingOrder="1"/>
    </xf>
    <xf numFmtId="0" fontId="167" fillId="0" borderId="0" xfId="0" applyFont="1" applyAlignment="1">
      <alignment horizontal="left" wrapText="1" readingOrder="1"/>
    </xf>
    <xf numFmtId="0" fontId="174" fillId="0" borderId="0" xfId="0" applyFont="1" applyAlignment="1">
      <alignment horizontal="left" readingOrder="1"/>
    </xf>
    <xf numFmtId="165" fontId="0" fillId="0" borderId="61" xfId="0" applyNumberFormat="1" applyBorder="1"/>
    <xf numFmtId="165" fontId="164" fillId="0" borderId="54" xfId="0" applyNumberFormat="1" applyFont="1" applyBorder="1" applyAlignment="1">
      <alignment horizontal="right" wrapText="1" readingOrder="1"/>
    </xf>
    <xf numFmtId="165" fontId="164" fillId="0" borderId="0" xfId="55011" applyNumberFormat="1" applyFont="1" applyFill="1" applyBorder="1" applyAlignment="1">
      <alignment horizontal="right"/>
    </xf>
    <xf numFmtId="165" fontId="164" fillId="0" borderId="55" xfId="0" applyNumberFormat="1" applyFont="1" applyBorder="1" applyAlignment="1">
      <alignment horizontal="right" wrapText="1" readingOrder="1"/>
    </xf>
    <xf numFmtId="165" fontId="164" fillId="0" borderId="53" xfId="55011" applyNumberFormat="1" applyFont="1" applyFill="1" applyBorder="1" applyAlignment="1">
      <alignment horizontal="right"/>
    </xf>
    <xf numFmtId="165" fontId="164" fillId="0" borderId="54" xfId="55011" applyNumberFormat="1" applyFont="1" applyFill="1" applyBorder="1" applyAlignment="1">
      <alignment horizontal="right"/>
    </xf>
    <xf numFmtId="165" fontId="164" fillId="0" borderId="56" xfId="55011" applyNumberFormat="1" applyFont="1" applyFill="1" applyBorder="1" applyAlignment="1">
      <alignment horizontal="right"/>
    </xf>
    <xf numFmtId="165" fontId="164" fillId="0" borderId="66" xfId="55011" applyNumberFormat="1" applyFont="1" applyFill="1" applyBorder="1" applyAlignment="1">
      <alignment horizontal="right"/>
    </xf>
    <xf numFmtId="0" fontId="167" fillId="0" borderId="0" xfId="0" applyFont="1" applyAlignment="1">
      <alignment readingOrder="1"/>
    </xf>
    <xf numFmtId="0" fontId="3" fillId="0" borderId="0" xfId="0" applyFont="1" applyAlignment="1">
      <alignment readingOrder="1"/>
    </xf>
    <xf numFmtId="0" fontId="177" fillId="0" borderId="0" xfId="0" applyFont="1" applyAlignment="1">
      <alignment vertical="top" wrapText="1"/>
    </xf>
    <xf numFmtId="0" fontId="168" fillId="116" borderId="65" xfId="0" applyFont="1" applyFill="1" applyBorder="1" applyAlignment="1">
      <alignment horizontal="left" wrapText="1" readingOrder="1"/>
    </xf>
    <xf numFmtId="2" fontId="6" fillId="0" borderId="0" xfId="0" applyNumberFormat="1" applyFont="1" applyAlignment="1">
      <alignment horizontal="right"/>
    </xf>
    <xf numFmtId="2" fontId="6" fillId="0" borderId="54" xfId="0" applyNumberFormat="1" applyFont="1" applyBorder="1" applyAlignment="1">
      <alignment horizontal="right"/>
    </xf>
    <xf numFmtId="1" fontId="6" fillId="0" borderId="54" xfId="0" applyNumberFormat="1" applyFont="1" applyBorder="1" applyAlignment="1">
      <alignment horizontal="right"/>
    </xf>
    <xf numFmtId="1" fontId="6" fillId="0" borderId="0" xfId="0" applyNumberFormat="1" applyFont="1" applyAlignment="1">
      <alignment horizontal="right"/>
    </xf>
    <xf numFmtId="1" fontId="6" fillId="0" borderId="0" xfId="55011" applyNumberFormat="1" applyFont="1" applyFill="1" applyBorder="1" applyAlignment="1">
      <alignment horizontal="right"/>
    </xf>
    <xf numFmtId="0" fontId="7" fillId="0" borderId="0" xfId="4" applyFill="1" applyBorder="1" applyAlignment="1">
      <alignment wrapText="1"/>
    </xf>
    <xf numFmtId="2" fontId="11" fillId="0" borderId="0" xfId="0" applyNumberFormat="1" applyFont="1" applyAlignment="1">
      <alignment horizontal="center"/>
    </xf>
    <xf numFmtId="2" fontId="11" fillId="0" borderId="64" xfId="0" applyNumberFormat="1" applyFont="1" applyBorder="1" applyAlignment="1">
      <alignment horizontal="center"/>
    </xf>
    <xf numFmtId="2" fontId="11" fillId="116" borderId="0" xfId="0" applyNumberFormat="1" applyFont="1" applyFill="1" applyAlignment="1">
      <alignment horizontal="center"/>
    </xf>
    <xf numFmtId="2" fontId="11" fillId="116" borderId="64" xfId="0" applyNumberFormat="1" applyFont="1" applyFill="1" applyBorder="1" applyAlignment="1">
      <alignment horizontal="center"/>
    </xf>
    <xf numFmtId="2" fontId="11" fillId="0" borderId="0" xfId="0" applyNumberFormat="1" applyFont="1"/>
    <xf numFmtId="2" fontId="11" fillId="0" borderId="64" xfId="0" applyNumberFormat="1" applyFont="1" applyBorder="1"/>
    <xf numFmtId="2" fontId="11" fillId="116" borderId="0" xfId="0" applyNumberFormat="1" applyFont="1" applyFill="1"/>
    <xf numFmtId="2" fontId="11" fillId="116" borderId="64" xfId="0" applyNumberFormat="1" applyFont="1" applyFill="1" applyBorder="1"/>
    <xf numFmtId="1" fontId="11" fillId="0" borderId="0" xfId="0" applyNumberFormat="1" applyFont="1" applyAlignment="1">
      <alignment horizontal="center"/>
    </xf>
    <xf numFmtId="1" fontId="11" fillId="0" borderId="64" xfId="0" applyNumberFormat="1" applyFont="1" applyBorder="1" applyAlignment="1">
      <alignment horizontal="center"/>
    </xf>
    <xf numFmtId="1" fontId="11" fillId="116" borderId="0" xfId="0" applyNumberFormat="1" applyFont="1" applyFill="1" applyAlignment="1">
      <alignment horizontal="center"/>
    </xf>
    <xf numFmtId="1" fontId="11" fillId="116" borderId="64" xfId="0" applyNumberFormat="1" applyFont="1" applyFill="1" applyBorder="1" applyAlignment="1">
      <alignment horizontal="center"/>
    </xf>
    <xf numFmtId="0" fontId="178" fillId="116" borderId="67" xfId="0" applyFont="1" applyFill="1" applyBorder="1"/>
    <xf numFmtId="0" fontId="179" fillId="0" borderId="0" xfId="0" applyFont="1"/>
    <xf numFmtId="0" fontId="3" fillId="0" borderId="0" xfId="1" applyAlignment="1">
      <alignment readingOrder="1"/>
    </xf>
    <xf numFmtId="165" fontId="6" fillId="0" borderId="0" xfId="2" applyNumberFormat="1" applyFont="1" applyFill="1" applyBorder="1" applyAlignment="1">
      <alignment horizontal="right"/>
    </xf>
    <xf numFmtId="165" fontId="6" fillId="0" borderId="54" xfId="55011" applyNumberFormat="1" applyFont="1" applyFill="1" applyBorder="1" applyAlignment="1">
      <alignment horizontal="right"/>
    </xf>
    <xf numFmtId="0" fontId="103" fillId="0" borderId="0" xfId="0" pivotButton="1" applyFont="1"/>
    <xf numFmtId="0" fontId="7" fillId="0" borderId="0" xfId="4" applyFill="1" applyBorder="1" applyAlignment="1"/>
    <xf numFmtId="0" fontId="7" fillId="0" borderId="0" xfId="4" applyFill="1" applyBorder="1" applyAlignment="1">
      <alignment readingOrder="1"/>
    </xf>
    <xf numFmtId="0" fontId="7" fillId="0" borderId="0" xfId="4" applyFill="1" applyAlignment="1">
      <alignment vertical="top" wrapText="1"/>
    </xf>
    <xf numFmtId="0" fontId="7" fillId="0" borderId="0" xfId="4" applyFill="1"/>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62">
    <dxf>
      <numFmt numFmtId="165" formatCode="0.0"/>
    </dxf>
    <dxf>
      <numFmt numFmtId="165" formatCode="0.0"/>
    </dxf>
    <dxf>
      <numFmt numFmtId="165" formatCode="0.0"/>
    </dxf>
    <dxf>
      <numFmt numFmtId="165" formatCode="0.0"/>
    </dxf>
    <dxf>
      <numFmt numFmtId="165" formatCode="0.0"/>
    </dxf>
    <dxf>
      <numFmt numFmtId="165" formatCode="0.0"/>
    </dxf>
    <dxf>
      <font>
        <color auto="1"/>
      </font>
    </dxf>
    <dxf>
      <font>
        <sz val="12"/>
      </font>
    </dxf>
    <dxf>
      <font>
        <name val="Arial"/>
      </font>
    </dxf>
    <dxf>
      <numFmt numFmtId="165" formatCode="0.0"/>
    </dxf>
    <dxf>
      <numFmt numFmtId="165" formatCode="0.0"/>
    </dxf>
    <dxf>
      <numFmt numFmtId="165" formatCode="0.0"/>
    </dxf>
    <dxf>
      <numFmt numFmtId="165" formatCode="0.0"/>
    </dxf>
    <dxf>
      <numFmt numFmtId="165" formatCode="0.0"/>
    </dxf>
    <dxf>
      <font>
        <b val="0"/>
        <i val="0"/>
        <strike val="0"/>
        <condense val="0"/>
        <extend val="0"/>
        <outline val="0"/>
        <shadow val="0"/>
        <u val="none"/>
        <vertAlign val="baseline"/>
        <sz val="11"/>
        <color theme="1"/>
        <name val="Calibri"/>
        <family val="2"/>
        <scheme val="none"/>
      </font>
      <numFmt numFmtId="165" formatCode="0.0"/>
      <fill>
        <patternFill patternType="solid">
          <fgColor theme="4" tint="0.79998168889431442"/>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dxf>
    <dxf>
      <border outline="0">
        <top style="thin">
          <color rgb="FF000000"/>
        </top>
        <bottom style="medium">
          <color indexed="64"/>
        </bottom>
      </border>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center" textRotation="0" wrapText="1" indent="0" justifyLastLine="0" shrinkToFit="0" readingOrder="1"/>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center" vertical="center" textRotation="0" wrapText="0" indent="0" justifyLastLine="0" shrinkToFit="0"/>
    </dxf>
  </dxfs>
  <tableStyles count="2" defaultTableStyle="TableStyleMedium2" defaultPivotStyle="PivotStyleLight16">
    <tableStyle name="indicators" pivot="0" table="0" count="6" xr9:uid="{3E45B13D-FB78-4233-8314-C559FC15E96C}"/>
    <tableStyle name="Slicer Style 1" pivot="0" table="0" count="6" xr9:uid="{C5F159F9-1CF6-4E3F-A1DA-57A336757E63}"/>
  </tableStyles>
  <colors>
    <mruColors>
      <color rgb="FF9C46A3"/>
      <color rgb="FF253268"/>
      <color rgb="FF702472"/>
      <color rgb="FF8392C3"/>
      <color rgb="FF8787C9"/>
      <color rgb="FFEA0000"/>
      <color rgb="FFA5AFD3"/>
      <color rgb="FF808080"/>
      <color rgb="FF0000FF"/>
    </mruColors>
  </colors>
  <extLst>
    <ext xmlns:x14="http://schemas.microsoft.com/office/spreadsheetml/2009/9/main" uri="{46F421CA-312F-682f-3DD2-61675219B42D}">
      <x14:dxfs count="12">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76201</xdr:rowOff>
    </xdr:from>
    <xdr:to>
      <xdr:col>5</xdr:col>
      <xdr:colOff>579437</xdr:colOff>
      <xdr:row>3</xdr:row>
      <xdr:rowOff>19050</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E67094BB-1183-C771-461A-8764BBB42242}"/>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14300" y="76201"/>
              <a:ext cx="5257800" cy="4952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698500</xdr:colOff>
      <xdr:row>0</xdr:row>
      <xdr:rowOff>107951</xdr:rowOff>
    </xdr:from>
    <xdr:to>
      <xdr:col>15</xdr:col>
      <xdr:colOff>446087</xdr:colOff>
      <xdr:row>3</xdr:row>
      <xdr:rowOff>171451</xdr:rowOff>
    </xdr:to>
    <mc:AlternateContent xmlns:mc="http://schemas.openxmlformats.org/markup-compatibility/2006" xmlns:a14="http://schemas.microsoft.com/office/drawing/2010/main">
      <mc:Choice Requires="a14">
        <xdr:graphicFrame macro="">
          <xdr:nvGraphicFramePr>
            <xdr:cNvPr id="3" name="KPI/PI">
              <a:extLst>
                <a:ext uri="{FF2B5EF4-FFF2-40B4-BE49-F238E27FC236}">
                  <a16:creationId xmlns:a16="http://schemas.microsoft.com/office/drawing/2014/main" id="{B50EDB84-B102-3D83-A77C-520280506E98}"/>
                </a:ext>
              </a:extLst>
            </xdr:cNvPr>
            <xdr:cNvGraphicFramePr/>
          </xdr:nvGraphicFramePr>
          <xdr:xfrm>
            <a:off x="0" y="0"/>
            <a:ext cx="0" cy="0"/>
          </xdr:xfrm>
          <a:graphic>
            <a:graphicData uri="http://schemas.microsoft.com/office/drawing/2010/slicer">
              <sle:slicer xmlns:sle="http://schemas.microsoft.com/office/drawing/2010/slicer" name="KPI/PI"/>
            </a:graphicData>
          </a:graphic>
        </xdr:graphicFrame>
      </mc:Choice>
      <mc:Fallback xmlns="">
        <xdr:sp macro="" textlink="">
          <xdr:nvSpPr>
            <xdr:cNvPr id="0" name=""/>
            <xdr:cNvSpPr>
              <a:spLocks noTextEdit="1"/>
            </xdr:cNvSpPr>
          </xdr:nvSpPr>
          <xdr:spPr>
            <a:xfrm>
              <a:off x="5403850" y="107951"/>
              <a:ext cx="5924550" cy="6159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ong  Trieu" refreshedDate="45496.638469097219" createdVersion="8" refreshedVersion="8" minRefreshableVersion="3" recordCount="30" xr:uid="{43278FA3-B010-4DEC-84BC-A4D42C35D906}">
  <cacheSource type="worksheet">
    <worksheetSource name="data"/>
  </cacheSource>
  <cacheFields count="9">
    <cacheField name="Year" numFmtId="0">
      <sharedItems count="9">
        <s v="2015-16"/>
        <s v="2016-17"/>
        <s v="2017-18"/>
        <s v="2018-19"/>
        <s v="2019-20"/>
        <s v="2020-21"/>
        <s v="2021-22"/>
        <s v="2022-23"/>
        <s v="2023-24"/>
      </sharedItems>
    </cacheField>
    <cacheField name="KPI/PI" numFmtId="0">
      <sharedItems count="5">
        <s v="Pavement condition"/>
        <s v="Structures condition"/>
        <s v="Technology availability"/>
        <s v="Drainage resilience"/>
        <s v="Geotechnical condition"/>
      </sharedItems>
    </cacheField>
    <cacheField name="National Highways" numFmtId="0">
      <sharedItems containsSemiMixedTypes="0" containsString="0" containsNumber="1" minValue="64" maxValue="99.65"/>
    </cacheField>
    <cacheField name="Yorkshire and North East" numFmtId="0">
      <sharedItems containsBlank="1" containsMixedTypes="1" containsNumber="1" minValue="69" maxValue="99.56"/>
    </cacheField>
    <cacheField name="North West_x000a_" numFmtId="0">
      <sharedItems containsBlank="1" containsMixedTypes="1" containsNumber="1" minValue="68" maxValue="99.77"/>
    </cacheField>
    <cacheField name="Midlands_x000a_" numFmtId="0">
      <sharedItems containsBlank="1" containsMixedTypes="1" containsNumber="1" minValue="66" maxValue="99.66"/>
    </cacheField>
    <cacheField name="East_x000a_" numFmtId="0">
      <sharedItems containsBlank="1" containsMixedTypes="1" containsNumber="1" minValue="77" maxValue="99.59"/>
    </cacheField>
    <cacheField name="South East_x000a_" numFmtId="0">
      <sharedItems containsBlank="1" containsMixedTypes="1" containsNumber="1" minValue="64" maxValue="99.66"/>
    </cacheField>
    <cacheField name="South West_x000a_" numFmtId="0">
      <sharedItems containsBlank="1" containsMixedTypes="1" containsNumber="1" minValue="64" maxValue="99.62"/>
    </cacheField>
  </cacheFields>
  <extLst>
    <ext xmlns:x14="http://schemas.microsoft.com/office/spreadsheetml/2009/9/main" uri="{725AE2AE-9491-48be-B2B4-4EB974FC3084}">
      <x14:pivotCacheDefinition pivotCacheId="6581015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x v="0"/>
    <x v="0"/>
    <n v="92.300000000000011"/>
    <n v="93.179999999999993"/>
    <n v="95.04"/>
    <n v="89.56"/>
    <n v="90.539999999999992"/>
    <n v="93.67"/>
    <n v="93.47"/>
  </r>
  <r>
    <x v="1"/>
    <x v="0"/>
    <n v="94.3"/>
    <n v="95.199999999999989"/>
    <n v="97.1"/>
    <n v="91.5"/>
    <n v="92.5"/>
    <n v="95.7"/>
    <n v="95.5"/>
  </r>
  <r>
    <x v="2"/>
    <x v="0"/>
    <n v="95.199999999999989"/>
    <n v="95.3"/>
    <n v="97.399999999999991"/>
    <n v="93.5"/>
    <n v="92.600000000000009"/>
    <n v="96.7"/>
    <n v="96.7"/>
  </r>
  <r>
    <x v="3"/>
    <x v="0"/>
    <n v="95.5"/>
    <n v="96.8"/>
    <n v="97.2"/>
    <n v="93.5"/>
    <n v="94"/>
    <n v="96.6"/>
    <n v="96.1"/>
  </r>
  <r>
    <x v="4"/>
    <x v="0"/>
    <n v="95.4"/>
    <n v="96.899999999999991"/>
    <n v="96.7"/>
    <n v="93.7"/>
    <n v="94.3"/>
    <n v="96.5"/>
    <n v="95.3"/>
  </r>
  <r>
    <x v="5"/>
    <x v="0"/>
    <n v="95.199999999999989"/>
    <n v="95.6"/>
    <n v="97.2"/>
    <n v="94.399999999999991"/>
    <n v="92.100000000000009"/>
    <n v="96.6"/>
    <n v="96"/>
  </r>
  <r>
    <x v="6"/>
    <x v="0"/>
    <n v="95.5"/>
    <n v="96"/>
    <n v="96.4"/>
    <n v="94.3"/>
    <n v="93.2"/>
    <n v="96.4"/>
    <n v="97.3"/>
  </r>
  <r>
    <x v="7"/>
    <x v="0"/>
    <n v="96.2"/>
    <n v="96.99"/>
    <n v="96.84"/>
    <n v="95.61"/>
    <n v="93.61"/>
    <n v="96.79"/>
    <n v="97.64"/>
  </r>
  <r>
    <x v="8"/>
    <x v="0"/>
    <n v="96.2"/>
    <s v="[x]"/>
    <s v="[x]"/>
    <s v="[x]"/>
    <s v="[x]"/>
    <s v="[x]"/>
    <s v="[x]"/>
  </r>
  <r>
    <x v="0"/>
    <x v="1"/>
    <n v="79.100000000000009"/>
    <m/>
    <m/>
    <m/>
    <m/>
    <m/>
    <m/>
  </r>
  <r>
    <x v="1"/>
    <x v="1"/>
    <n v="79.2"/>
    <m/>
    <m/>
    <m/>
    <m/>
    <m/>
    <m/>
  </r>
  <r>
    <x v="2"/>
    <x v="1"/>
    <n v="79.800000000000011"/>
    <m/>
    <m/>
    <m/>
    <m/>
    <m/>
    <m/>
  </r>
  <r>
    <x v="3"/>
    <x v="1"/>
    <n v="79.800000000000011"/>
    <m/>
    <m/>
    <m/>
    <m/>
    <m/>
    <m/>
  </r>
  <r>
    <x v="4"/>
    <x v="1"/>
    <n v="80.489999999999995"/>
    <m/>
    <m/>
    <m/>
    <m/>
    <m/>
    <m/>
  </r>
  <r>
    <x v="5"/>
    <x v="1"/>
    <n v="81.2"/>
    <n v="83.63"/>
    <n v="84.24"/>
    <n v="84.38"/>
    <n v="84.82"/>
    <n v="88.4"/>
    <n v="85.48"/>
  </r>
  <r>
    <x v="6"/>
    <x v="1"/>
    <n v="81"/>
    <n v="83.63"/>
    <n v="84.24"/>
    <n v="86.42"/>
    <n v="84.82"/>
    <n v="88.4"/>
    <n v="85.48"/>
  </r>
  <r>
    <x v="7"/>
    <x v="1"/>
    <n v="81.400000000000006"/>
    <n v="84.6"/>
    <n v="83.5"/>
    <n v="85.7"/>
    <n v="83.6"/>
    <n v="88.1"/>
    <n v="84.7"/>
  </r>
  <r>
    <x v="8"/>
    <x v="1"/>
    <n v="82.2"/>
    <s v="[x]"/>
    <s v="[x]"/>
    <s v="[x]"/>
    <s v="[x]"/>
    <s v="[x]"/>
    <s v="[x]"/>
  </r>
  <r>
    <x v="5"/>
    <x v="2"/>
    <n v="95.1"/>
    <m/>
    <m/>
    <m/>
    <m/>
    <m/>
    <m/>
  </r>
  <r>
    <x v="6"/>
    <x v="2"/>
    <n v="96.8"/>
    <m/>
    <m/>
    <m/>
    <m/>
    <m/>
    <m/>
  </r>
  <r>
    <x v="7"/>
    <x v="2"/>
    <n v="95.3"/>
    <m/>
    <m/>
    <m/>
    <m/>
    <m/>
    <m/>
  </r>
  <r>
    <x v="8"/>
    <x v="2"/>
    <n v="91.4"/>
    <m/>
    <m/>
    <m/>
    <m/>
    <m/>
    <m/>
  </r>
  <r>
    <x v="5"/>
    <x v="3"/>
    <n v="72"/>
    <n v="70"/>
    <n v="69"/>
    <n v="66"/>
    <n v="85"/>
    <n v="68"/>
    <n v="79"/>
  </r>
  <r>
    <x v="6"/>
    <x v="3"/>
    <n v="71"/>
    <n v="69"/>
    <n v="68"/>
    <n v="67"/>
    <n v="82"/>
    <n v="68"/>
    <n v="77"/>
  </r>
  <r>
    <x v="7"/>
    <x v="3"/>
    <n v="69"/>
    <n v="69"/>
    <n v="70"/>
    <n v="66"/>
    <n v="77"/>
    <n v="64"/>
    <n v="64"/>
  </r>
  <r>
    <x v="8"/>
    <x v="3"/>
    <n v="64"/>
    <s v="[x]"/>
    <s v="[x]"/>
    <s v="[x]"/>
    <s v="[x]"/>
    <s v="[x]"/>
    <s v="[x]"/>
  </r>
  <r>
    <x v="5"/>
    <x v="4"/>
    <n v="99.62"/>
    <n v="99.56"/>
    <n v="99.64"/>
    <n v="99.66"/>
    <n v="99.46"/>
    <n v="99.66"/>
    <n v="99.61"/>
  </r>
  <r>
    <x v="6"/>
    <x v="4"/>
    <n v="99.59"/>
    <n v="99.56"/>
    <n v="99.66"/>
    <n v="99.51"/>
    <n v="99.51"/>
    <n v="99.550000000000011"/>
    <n v="99.62"/>
  </r>
  <r>
    <x v="7"/>
    <x v="4"/>
    <n v="99.59"/>
    <n v="99.56"/>
    <n v="99.66"/>
    <n v="99.51"/>
    <n v="99.51"/>
    <n v="99.550000000000011"/>
    <n v="99.62"/>
  </r>
  <r>
    <x v="8"/>
    <x v="4"/>
    <n v="99.65"/>
    <n v="99.54"/>
    <n v="99.77"/>
    <n v="99.66"/>
    <n v="99.59"/>
    <n v="99.65"/>
    <n v="9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37502A-E729-491C-BD80-128A7CF37EB1}" name="NH" cacheId="24"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Period">
  <location ref="A5:B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dataField="1" numFmtId="165" showAll="0"/>
    <pivotField showAll="0"/>
    <pivotField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National Highways" fld="2" baseField="0" baseItem="5" numFmtId="165"/>
  </dataFields>
  <formats count="2">
    <format dxfId="1">
      <pivotArea collapsedLevelsAreSubtotals="1" fieldPosition="0">
        <references count="1">
          <reference field="0" count="1">
            <x v="4"/>
          </reference>
        </references>
      </pivotArea>
    </format>
    <format dxfId="0">
      <pivotArea outline="0" collapsedLevelsAreSubtotals="1" fieldPosition="0"/>
    </format>
  </formats>
  <conditionalFormats count="2">
    <conditionalFormat priority="3">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1">
    <chartFormat chart="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32D2E38-C529-4B4C-90F8-E70E1CE222B7}" name="YNE" cacheId="24" applyNumberFormats="0" applyBorderFormats="0" applyFontFormats="0" applyPatternFormats="0" applyAlignmentFormats="0" applyWidthHeightFormats="1" dataCaption="Values" showError="1" updatedVersion="8" minRefreshableVersion="3" useAutoFormatting="1" rowGrandTotals="0" itemPrintTitles="1" createdVersion="8" indent="0" outline="1" outlineData="1" multipleFieldFilters="0" chartFormat="29" rowHeaderCaption="Period">
  <location ref="D5:E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dataField="1" showAll="0"/>
    <pivotField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Yorkshire and North East" fld="3" baseField="0" baseItem="0" numFmtId="165"/>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E7B8FA4-7A8C-4DAF-8390-DC8CCF83710B}" name="East" cacheId="24"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2" rowHeaderCaption="Period">
  <location ref="M5:N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dataField="1" showAll="0"/>
    <pivotField showAll="0"/>
    <pivotField showAll="0"/>
  </pivotFields>
  <rowFields count="1">
    <field x="0"/>
  </rowFields>
  <rowItems count="9">
    <i>
      <x/>
    </i>
    <i>
      <x v="1"/>
    </i>
    <i>
      <x v="2"/>
    </i>
    <i>
      <x v="3"/>
    </i>
    <i>
      <x v="4"/>
    </i>
    <i>
      <x v="5"/>
    </i>
    <i>
      <x v="6"/>
    </i>
    <i>
      <x v="7"/>
    </i>
    <i>
      <x v="8"/>
    </i>
  </rowItems>
  <colItems count="1">
    <i/>
  </colItems>
  <dataFields count="1">
    <dataField name=" East" fld="6" baseField="0" baseItem="0" numFmtId="165"/>
  </dataFields>
  <formats count="1">
    <format dxfId="3">
      <pivotArea outline="0" collapsedLevelsAreSubtotals="1" fieldPosition="0"/>
    </format>
  </formats>
  <chartFormats count="11">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0" count="1" selected="0">
            <x v="5"/>
          </reference>
        </references>
      </pivotArea>
    </chartFormat>
    <chartFormat chart="7" format="7">
      <pivotArea type="data" outline="0" fieldPosition="0">
        <references count="2">
          <reference field="4294967294" count="1" selected="0">
            <x v="0"/>
          </reference>
          <reference field="0" count="1" selected="0">
            <x v="6"/>
          </reference>
        </references>
      </pivotArea>
    </chartFormat>
    <chartFormat chart="7" format="8">
      <pivotArea type="data" outline="0" fieldPosition="0">
        <references count="1">
          <reference field="4294967294" count="1" selected="0">
            <x v="0"/>
          </reference>
        </references>
      </pivotArea>
    </chartFormat>
    <chartFormat chart="7" format="9">
      <pivotArea type="data" outline="0" fieldPosition="0">
        <references count="2">
          <reference field="4294967294" count="1" selected="0">
            <x v="0"/>
          </reference>
          <reference field="0" count="1" selected="0">
            <x v="0"/>
          </reference>
        </references>
      </pivotArea>
    </chartFormat>
    <chartFormat chart="7" format="10">
      <pivotArea type="data" outline="0" fieldPosition="0">
        <references count="2">
          <reference field="4294967294" count="1" selected="0">
            <x v="0"/>
          </reference>
          <reference field="0" count="1" selected="0">
            <x v="1"/>
          </reference>
        </references>
      </pivotArea>
    </chartFormat>
    <chartFormat chart="7" format="11">
      <pivotArea type="data" outline="0" fieldPosition="0">
        <references count="2">
          <reference field="4294967294" count="1" selected="0">
            <x v="0"/>
          </reference>
          <reference field="0" count="1" selected="0">
            <x v="2"/>
          </reference>
        </references>
      </pivotArea>
    </chartFormat>
    <chartFormat chart="7" format="12">
      <pivotArea type="data" outline="0" fieldPosition="0">
        <references count="2">
          <reference field="4294967294" count="1" selected="0">
            <x v="0"/>
          </reference>
          <reference field="0" count="1" selected="0">
            <x v="3"/>
          </reference>
        </references>
      </pivotArea>
    </chartFormat>
    <chartFormat chart="7" format="13">
      <pivotArea type="data" outline="0" fieldPosition="0">
        <references count="2">
          <reference field="4294967294" count="1" selected="0">
            <x v="0"/>
          </reference>
          <reference field="0" count="1" selected="0">
            <x v="4"/>
          </reference>
        </references>
      </pivotArea>
    </chartFormat>
    <chartFormat chart="7" format="14">
      <pivotArea type="data" outline="0" fieldPosition="0">
        <references count="2">
          <reference field="4294967294" count="1" selected="0">
            <x v="0"/>
          </reference>
          <reference field="0" count="1" selected="0">
            <x v="7"/>
          </reference>
        </references>
      </pivotArea>
    </chartFormat>
    <chartFormat chart="7" format="15">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CAD83B5-75F7-4704-8F45-5DDB93DD9630}" name="SE" cacheId="24"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7" rowHeaderCaption="Period">
  <location ref="P5:Q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showAll="0"/>
    <pivotField dataField="1" showAll="0"/>
    <pivotField showAll="0"/>
  </pivotFields>
  <rowFields count="1">
    <field x="0"/>
  </rowFields>
  <rowItems count="9">
    <i>
      <x/>
    </i>
    <i>
      <x v="1"/>
    </i>
    <i>
      <x v="2"/>
    </i>
    <i>
      <x v="3"/>
    </i>
    <i>
      <x v="4"/>
    </i>
    <i>
      <x v="5"/>
    </i>
    <i>
      <x v="6"/>
    </i>
    <i>
      <x v="7"/>
    </i>
    <i>
      <x v="8"/>
    </i>
  </rowItems>
  <colItems count="1">
    <i/>
  </colItems>
  <dataFields count="1">
    <dataField name=" South East" fld="7" baseField="0" baseItem="0" numFmtId="165"/>
  </dataFields>
  <formats count="1">
    <format dxfId="4">
      <pivotArea outline="0" collapsedLevelsAreSubtotals="1" fieldPosition="0"/>
    </format>
  </formats>
  <chartFormats count="11">
    <chartFormat chart="4" format="10" series="1">
      <pivotArea type="data" outline="0" fieldPosition="0">
        <references count="1">
          <reference field="4294967294" count="1" selected="0">
            <x v="0"/>
          </reference>
        </references>
      </pivotArea>
    </chartFormat>
    <chartFormat chart="4" format="11">
      <pivotArea type="data" outline="0" fieldPosition="0">
        <references count="2">
          <reference field="4294967294" count="1" selected="0">
            <x v="0"/>
          </reference>
          <reference field="0" count="1" selected="0">
            <x v="5"/>
          </reference>
        </references>
      </pivotArea>
    </chartFormat>
    <chartFormat chart="4" format="12">
      <pivotArea type="data" outline="0" fieldPosition="0">
        <references count="2">
          <reference field="4294967294" count="1" selected="0">
            <x v="0"/>
          </reference>
          <reference field="0" count="1" selected="0">
            <x v="6"/>
          </reference>
        </references>
      </pivotArea>
    </chartFormat>
    <chartFormat chart="4" format="13">
      <pivotArea type="data" outline="0" fieldPosition="0">
        <references count="1">
          <reference field="4294967294" count="1" selected="0">
            <x v="0"/>
          </reference>
        </references>
      </pivotArea>
    </chartFormat>
    <chartFormat chart="4" format="14">
      <pivotArea type="data" outline="0" fieldPosition="0">
        <references count="2">
          <reference field="4294967294" count="1" selected="0">
            <x v="0"/>
          </reference>
          <reference field="0" count="1" selected="0">
            <x v="0"/>
          </reference>
        </references>
      </pivotArea>
    </chartFormat>
    <chartFormat chart="4" format="15">
      <pivotArea type="data" outline="0" fieldPosition="0">
        <references count="2">
          <reference field="4294967294" count="1" selected="0">
            <x v="0"/>
          </reference>
          <reference field="0" count="1" selected="0">
            <x v="1"/>
          </reference>
        </references>
      </pivotArea>
    </chartFormat>
    <chartFormat chart="4" format="16">
      <pivotArea type="data" outline="0" fieldPosition="0">
        <references count="2">
          <reference field="4294967294" count="1" selected="0">
            <x v="0"/>
          </reference>
          <reference field="0" count="1" selected="0">
            <x v="2"/>
          </reference>
        </references>
      </pivotArea>
    </chartFormat>
    <chartFormat chart="4" format="17">
      <pivotArea type="data" outline="0" fieldPosition="0">
        <references count="2">
          <reference field="4294967294" count="1" selected="0">
            <x v="0"/>
          </reference>
          <reference field="0" count="1" selected="0">
            <x v="3"/>
          </reference>
        </references>
      </pivotArea>
    </chartFormat>
    <chartFormat chart="4" format="18">
      <pivotArea type="data" outline="0" fieldPosition="0">
        <references count="2">
          <reference field="4294967294" count="1" selected="0">
            <x v="0"/>
          </reference>
          <reference field="0" count="1" selected="0">
            <x v="4"/>
          </reference>
        </references>
      </pivotArea>
    </chartFormat>
    <chartFormat chart="4" format="19">
      <pivotArea type="data" outline="0" fieldPosition="0">
        <references count="2">
          <reference field="4294967294" count="1" selected="0">
            <x v="0"/>
          </reference>
          <reference field="0" count="1" selected="0">
            <x v="7"/>
          </reference>
        </references>
      </pivotArea>
    </chartFormat>
    <chartFormat chart="4" format="20">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65208C-F395-45FE-9994-0DDD009599EF}" name="Midlands" cacheId="24"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0" rowHeaderCaption="Period">
  <location ref="J5:K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dataField="1"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Midlands" fld="5" baseField="0" baseItem="0" numFmtId="165"/>
  </dataFields>
  <formats count="4">
    <format dxfId="8">
      <pivotArea field="0" type="button" dataOnly="0" labelOnly="1" outline="0" axis="axisRow" fieldPosition="0"/>
    </format>
    <format dxfId="7">
      <pivotArea field="0" type="button" dataOnly="0" labelOnly="1" outline="0" axis="axisRow" fieldPosition="0"/>
    </format>
    <format dxfId="6">
      <pivotArea field="0" type="button" dataOnly="0" labelOnly="1" outline="0" axis="axisRow"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E7167A6-9BE7-4877-B381-BC7B22B0D6A7}" name="PivotTable9" cacheId="24"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
  <location ref="A42:H51" firstHeaderRow="0" firstDataRow="1" firstDataCol="1" rowPageCount="1" colPageCount="1"/>
  <pivotFields count="9">
    <pivotField axis="axisRow" showAll="0">
      <items count="10">
        <item x="0"/>
        <item x="1"/>
        <item x="2"/>
        <item x="3"/>
        <item x="4"/>
        <item x="5"/>
        <item x="6"/>
        <item x="7"/>
        <item x="8"/>
        <item t="default"/>
      </items>
    </pivotField>
    <pivotField axis="axisPage" showAll="0">
      <items count="6">
        <item x="3"/>
        <item x="4"/>
        <item x="0"/>
        <item x="1"/>
        <item x="2"/>
        <item t="default"/>
      </items>
    </pivotField>
    <pivotField dataField="1" numFmtId="165" showAll="0"/>
    <pivotField dataField="1" showAll="0"/>
    <pivotField dataField="1" showAll="0"/>
    <pivotField dataField="1" showAll="0"/>
    <pivotField dataField="1" showAll="0"/>
    <pivotField dataField="1" showAll="0"/>
    <pivotField dataField="1" showAll="0"/>
  </pivotFields>
  <rowFields count="1">
    <field x="0"/>
  </rowFields>
  <rowItems count="9">
    <i>
      <x/>
    </i>
    <i>
      <x v="1"/>
    </i>
    <i>
      <x v="2"/>
    </i>
    <i>
      <x v="3"/>
    </i>
    <i>
      <x v="4"/>
    </i>
    <i>
      <x v="5"/>
    </i>
    <i>
      <x v="6"/>
    </i>
    <i>
      <x v="7"/>
    </i>
    <i>
      <x v="8"/>
    </i>
  </rowItems>
  <colFields count="1">
    <field x="-2"/>
  </colFields>
  <colItems count="7">
    <i>
      <x/>
    </i>
    <i i="1">
      <x v="1"/>
    </i>
    <i i="2">
      <x v="2"/>
    </i>
    <i i="3">
      <x v="3"/>
    </i>
    <i i="4">
      <x v="4"/>
    </i>
    <i i="5">
      <x v="5"/>
    </i>
    <i i="6">
      <x v="6"/>
    </i>
  </colItems>
  <pageFields count="1">
    <pageField fld="1" item="2" hier="-1"/>
  </pageFields>
  <dataFields count="7">
    <dataField name=" Yorkshire and North East" fld="3" baseField="0" baseItem="0"/>
    <dataField name=" North West" fld="4" baseField="0" baseItem="0"/>
    <dataField name=" Midlands" fld="5" baseField="0" baseItem="0"/>
    <dataField name=" East" fld="6" baseField="0" baseItem="0"/>
    <dataField name=" South East" fld="7" baseField="0" baseItem="0"/>
    <dataField name=" South West" fld="8" baseField="0" baseItem="0"/>
    <dataField name=" National Highways" fld="2" baseField="0" baseItem="5"/>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3C19AA7-AB60-4A34-B671-27546984B050}" name="NW" cacheId="24"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7" rowHeaderCaption="Period">
  <location ref="G5:H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dataField="1"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North West" fld="4" baseField="0" baseItem="0" numFmtId="165"/>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D94E03-6ED6-4344-9F0C-59DD97EDB863}" name="SW" cacheId="24"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5" rowHeaderCaption="Period">
  <location ref="S5:T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showAll="0"/>
    <pivotField showAll="0"/>
    <pivotField dataField="1" showAll="0"/>
  </pivotFields>
  <rowFields count="1">
    <field x="0"/>
  </rowFields>
  <rowItems count="9">
    <i>
      <x/>
    </i>
    <i>
      <x v="1"/>
    </i>
    <i>
      <x v="2"/>
    </i>
    <i>
      <x v="3"/>
    </i>
    <i>
      <x v="4"/>
    </i>
    <i>
      <x v="5"/>
    </i>
    <i>
      <x v="6"/>
    </i>
    <i>
      <x v="7"/>
    </i>
    <i>
      <x v="8"/>
    </i>
  </rowItems>
  <colItems count="1">
    <i/>
  </colItems>
  <dataFields count="1">
    <dataField name=" South West" fld="8" baseField="0" baseItem="1" numFmtId="165"/>
  </dataFields>
  <formats count="1">
    <format dxfId="11">
      <pivotArea outline="0" collapsedLevelsAreSubtotals="1" fieldPosition="0"/>
    </format>
  </formats>
  <chartFormats count="11">
    <chartFormat chart="4" format="13" series="1">
      <pivotArea type="data" outline="0" fieldPosition="0">
        <references count="1">
          <reference field="4294967294" count="1" selected="0">
            <x v="0"/>
          </reference>
        </references>
      </pivotArea>
    </chartFormat>
    <chartFormat chart="4" format="14">
      <pivotArea type="data" outline="0" fieldPosition="0">
        <references count="2">
          <reference field="4294967294" count="1" selected="0">
            <x v="0"/>
          </reference>
          <reference field="0" count="1" selected="0">
            <x v="5"/>
          </reference>
        </references>
      </pivotArea>
    </chartFormat>
    <chartFormat chart="4" format="15">
      <pivotArea type="data" outline="0" fieldPosition="0">
        <references count="2">
          <reference field="4294967294" count="1" selected="0">
            <x v="0"/>
          </reference>
          <reference field="0" count="1" selected="0">
            <x v="6"/>
          </reference>
        </references>
      </pivotArea>
    </chartFormat>
    <chartFormat chart="4" format="16">
      <pivotArea type="data" outline="0" fieldPosition="0">
        <references count="1">
          <reference field="4294967294" count="1" selected="0">
            <x v="0"/>
          </reference>
        </references>
      </pivotArea>
    </chartFormat>
    <chartFormat chart="4" format="17">
      <pivotArea type="data" outline="0" fieldPosition="0">
        <references count="2">
          <reference field="4294967294" count="1" selected="0">
            <x v="0"/>
          </reference>
          <reference field="0" count="1" selected="0">
            <x v="0"/>
          </reference>
        </references>
      </pivotArea>
    </chartFormat>
    <chartFormat chart="4" format="18">
      <pivotArea type="data" outline="0" fieldPosition="0">
        <references count="2">
          <reference field="4294967294" count="1" selected="0">
            <x v="0"/>
          </reference>
          <reference field="0" count="1" selected="0">
            <x v="1"/>
          </reference>
        </references>
      </pivotArea>
    </chartFormat>
    <chartFormat chart="4" format="19">
      <pivotArea type="data" outline="0" fieldPosition="0">
        <references count="2">
          <reference field="4294967294" count="1" selected="0">
            <x v="0"/>
          </reference>
          <reference field="0" count="1" selected="0">
            <x v="2"/>
          </reference>
        </references>
      </pivotArea>
    </chartFormat>
    <chartFormat chart="4" format="20">
      <pivotArea type="data" outline="0" fieldPosition="0">
        <references count="2">
          <reference field="4294967294" count="1" selected="0">
            <x v="0"/>
          </reference>
          <reference field="0" count="1" selected="0">
            <x v="3"/>
          </reference>
        </references>
      </pivotArea>
    </chartFormat>
    <chartFormat chart="4" format="21">
      <pivotArea type="data" outline="0" fieldPosition="0">
        <references count="2">
          <reference field="4294967294" count="1" selected="0">
            <x v="0"/>
          </reference>
          <reference field="0" count="1" selected="0">
            <x v="4"/>
          </reference>
        </references>
      </pivotArea>
    </chartFormat>
    <chartFormat chart="4" format="22">
      <pivotArea type="data" outline="0" fieldPosition="0">
        <references count="2">
          <reference field="4294967294" count="1" selected="0">
            <x v="0"/>
          </reference>
          <reference field="0" count="1" selected="0">
            <x v="7"/>
          </reference>
        </references>
      </pivotArea>
    </chartFormat>
    <chartFormat chart="4" format="23">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B915CEC9-11AD-4E4D-9523-CA0293C90586}" sourceName="Year">
  <pivotTables>
    <pivotTable tabId="17" name="PivotTable9"/>
    <pivotTable tabId="17" name="NH"/>
    <pivotTable tabId="17" name="YNE"/>
    <pivotTable tabId="17" name="NW"/>
    <pivotTable tabId="17" name="Midlands"/>
    <pivotTable tabId="17" name="East"/>
    <pivotTable tabId="17" name="SE"/>
    <pivotTable tabId="17" name="SW"/>
  </pivotTables>
  <data>
    <tabular pivotCacheId="658101560">
      <items count="9">
        <i x="0" s="1"/>
        <i x="1" s="1"/>
        <i x="2" s="1"/>
        <i x="3" s="1"/>
        <i x="4" s="1"/>
        <i x="5" s="1"/>
        <i x="6" s="1"/>
        <i x="7" s="1"/>
        <i x="8"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_PI" xr10:uid="{2168EAF2-8B5B-4EB3-8B5D-C4463F1D58FD}" sourceName="KPI/PI">
  <pivotTables>
    <pivotTable tabId="17" name="PivotTable9"/>
    <pivotTable tabId="17" name="NH"/>
    <pivotTable tabId="17" name="YNE"/>
    <pivotTable tabId="17" name="NW"/>
    <pivotTable tabId="17" name="Midlands"/>
    <pivotTable tabId="17" name="East"/>
    <pivotTable tabId="17" name="SE"/>
    <pivotTable tabId="17" name="SW"/>
  </pivotTables>
  <data>
    <tabular pivotCacheId="658101560">
      <items count="5">
        <i x="3"/>
        <i x="4"/>
        <i x="0" s="1"/>
        <i x="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71E17A70-6252-4168-99A8-AD5B0A2BDEDC}" cache="Slicer_Year1" caption="Year" columnCount="7" showCaption="0" style="Slicer Style 1" rowHeight="241300"/>
  <slicer name="KPI/PI" xr10:uid="{97673E9A-CBE4-46E9-9C7A-7A8EFEB66B6F}" cache="Slicer_KPI_PI" caption="KPI/PI" columnCount="5" showCaption="0" style="indicator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9" totalsRowShown="0">
  <tableColumns count="2">
    <tableColumn id="1" xr3:uid="{00000000-0010-0000-0100-000001000000}" name="Note number " dataDxfId="61"/>
    <tableColumn id="2" xr3:uid="{00000000-0010-0000-0100-000002000000}" name="Note tex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8" totalsRowShown="0">
  <autoFilter ref="A3:B8" xr:uid="{A2E2B00C-F437-45B3-8503-7AA9961C3F10}">
    <filterColumn colId="0" hiddenButton="1"/>
    <filterColumn colId="1" hiddenButton="1"/>
  </autoFilter>
  <tableColumns count="2">
    <tableColumn id="1" xr3:uid="{557ED635-1147-439E-8F74-0D2BBB4D3AF5}" name="Worksheet name" dataDxfId="60"/>
    <tableColumn id="2" xr3:uid="{7C0BBB98-1A7D-4386-9200-AB6B86FDDAAE}" name="Worksheet title" dataDxfId="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CFCD09-0113-444B-97DD-5A6C48A9B691}" name="Table_3a" displayName="Table_3a" ref="A5:H15" totalsRowShown="0" headerRowDxfId="58" dataDxfId="57">
  <autoFilter ref="A5:H15" xr:uid="{ACCFCD09-0113-444B-97DD-5A6C48A9B69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52853BB-8585-4238-81EB-AEA8E00DD71E}" name="Time period" dataDxfId="56"/>
    <tableColumn id="2" xr3:uid="{40553738-D00A-453A-9142-CBC561868275}" name="England's strategic road network (percentage)" dataDxfId="55"/>
    <tableColumn id="3" xr3:uid="{730B901E-9CAE-450D-A623-A00D5123C154}" name="Yorkshire and North East_x000a_(percentage)" dataDxfId="54"/>
    <tableColumn id="4" xr3:uid="{95AB8A25-011D-4A7D-A423-FE3E25492E2F}" name="North West_x000a_(percentage)" dataDxfId="53"/>
    <tableColumn id="5" xr3:uid="{2778C2AD-3B0B-4C99-9B83-D1BAD8EE2F7C}" name="Midlands_x000a_(percentage)" dataDxfId="52"/>
    <tableColumn id="6" xr3:uid="{EED4280D-9958-475E-AE06-D7BA6E205FA5}" name="East_x000a_(percentage)" dataDxfId="51"/>
    <tableColumn id="7" xr3:uid="{EF841BF8-AC1D-464D-863F-C53B73B9E335}" name="South East_x000a_(percentage)" dataDxfId="50"/>
    <tableColumn id="8" xr3:uid="{A292E4FF-DA14-4513-B5B3-D4178313FAB2}" name="South West_x000a_(percentage)" dataDxfId="4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CA94CA-72E0-49D0-9EED-A1BE7CFEF05E}" name="Table_3b" displayName="Table_3b" ref="A4:H14" totalsRowShown="0">
  <autoFilter ref="A4:H14" xr:uid="{B6CA94CA-72E0-49D0-9EED-A1BE7CFEF05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FD50AD0-59BA-4DAC-8455-D3643451D058}" name="Time period" dataDxfId="48"/>
    <tableColumn id="2" xr3:uid="{34FEF0B0-1996-4CA2-A9A9-53E9CD86E1F3}" name="England's strategic road network (percentage)" dataDxfId="47"/>
    <tableColumn id="3" xr3:uid="{2D3B3AF3-B2D1-40BE-BC53-E4D7F12628BE}" name="Yorkshire and North East_x000a_(percentage)" dataDxfId="46"/>
    <tableColumn id="4" xr3:uid="{5ACCA057-6928-4664-A583-F63D8A977760}" name="North West_x000a_(percentage)" dataDxfId="45"/>
    <tableColumn id="5" xr3:uid="{7149C8BB-ABE2-44AB-BB34-8C2120F83F75}" name="Midlands_x000a_(percentage)" dataDxfId="44"/>
    <tableColumn id="6" xr3:uid="{D1FC4249-6762-4C2F-A7F5-522082831F3D}" name="East_x000a_(percentage)" dataDxfId="43"/>
    <tableColumn id="7" xr3:uid="{A09168CE-16EA-459A-B6F7-252EC755EBDE}" name="South East_x000a_(percentage)" dataDxfId="42"/>
    <tableColumn id="8" xr3:uid="{701B3DEE-31DF-4091-AB37-0C024F328416}" name="South West_x000a_(percentage)"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D3F2D0-A909-492D-B0BD-FD6587B5B410}" name="Table_3c" displayName="Table_3c" ref="A3:B8" totalsRowShown="0">
  <autoFilter ref="A3:B8" xr:uid="{B3D3F2D0-A909-492D-B0BD-FD6587B5B410}">
    <filterColumn colId="0" hiddenButton="1"/>
    <filterColumn colId="1" hiddenButton="1"/>
  </autoFilter>
  <tableColumns count="2">
    <tableColumn id="1" xr3:uid="{F8827165-EAF7-4498-AD07-42E0EFFAC613}" name="Time period" dataDxfId="40"/>
    <tableColumn id="2" xr3:uid="{A9D704A0-E28C-4EA2-A915-BCA4D315D347}" name="England's strategic road network (percentage)" dataDxfId="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3E07C0-6D21-4818-A70A-9F1117E75973}" name="Table_3d" displayName="Table_3d" ref="A3:H8" totalsRowShown="0" headerRowDxfId="38" dataDxfId="37">
  <autoFilter ref="A3:H8" xr:uid="{AB3E07C0-6D21-4818-A70A-9F1117E759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BD7B56-1776-4DBC-AD00-C98636CB7B9F}" name="Time period" dataDxfId="36"/>
    <tableColumn id="2" xr3:uid="{771CCAFA-B488-417B-B3E6-DCD0A6D95A20}" name="England's strategic road network (percentage)" dataDxfId="35"/>
    <tableColumn id="3" xr3:uid="{BA28201C-6DCB-4814-9123-890A22C651AB}" name="Yorkshire and North East_x000a_(percentage)" dataDxfId="34"/>
    <tableColumn id="4" xr3:uid="{C40BCE1C-9CE5-4671-A4DE-E5C394D899D5}" name="North West_x000a_(percentage)" dataDxfId="33"/>
    <tableColumn id="5" xr3:uid="{6050FB36-BDED-4410-9AA3-C7E1EDADE877}" name="Midlands_x000a_(percentage)" dataDxfId="32"/>
    <tableColumn id="6" xr3:uid="{3D131B49-5B3E-487C-88F0-B5D74F785E5A}" name="East_x000a_(percentage)" dataDxfId="31"/>
    <tableColumn id="7" xr3:uid="{0E783149-79CD-4AA0-8754-D13ECE8CD0D0}" name="South East_x000a_(percentage)" dataDxfId="30"/>
    <tableColumn id="8" xr3:uid="{5F5DF218-6A61-4BE9-9160-65DE6809232E}" name="South West_x000a_(percentage)" dataDxfId="2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EC45601-81A3-428E-9EAE-9CB91F1FE398}" name="Table_3e" displayName="Table_3e" ref="A3:H8" totalsRowShown="0" headerRowDxfId="28" dataDxfId="27">
  <autoFilter ref="A3:H8" xr:uid="{BEC45601-81A3-428E-9EAE-9CB91F1FE3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A256C41-F577-4E2B-A5C3-968C8380B5E7}" name="Time period" dataDxfId="26"/>
    <tableColumn id="2" xr3:uid="{2CF37AA8-762B-42FC-A85F-B9E756304800}" name="England's strategic road network (percentage)" dataDxfId="25"/>
    <tableColumn id="3" xr3:uid="{7A66181A-97C9-4018-91BC-DFE50B68FC69}" name="Yorkshire and North East_x000a_(percentage)" dataDxfId="24"/>
    <tableColumn id="4" xr3:uid="{D874B339-2CE8-46F4-8146-FC0DCD9201CA}" name="North West_x000a_(percentage)" dataDxfId="23"/>
    <tableColumn id="5" xr3:uid="{5F83B7B9-DF82-4205-BC39-92F6DC93E51B}" name="Midlands_x000a_(percentage)" dataDxfId="22"/>
    <tableColumn id="6" xr3:uid="{2937CEED-62B3-47C8-8E9E-00CB6F59C7FD}" name="East_x000a_(percentage)" dataDxfId="21"/>
    <tableColumn id="7" xr3:uid="{62439521-7C1A-4D68-91E5-F54E41144834}" name="South East_x000a_(percentage)" dataDxfId="20"/>
    <tableColumn id="8" xr3:uid="{192E5118-F071-4549-B4E2-B9754DD8559C}" name="South West_x000a_(percentage)" dataDxfId="1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A444DA2-B8F3-46FE-96B5-F5BE33D5A18A}" name="data" displayName="data" ref="B1:J31" totalsRowShown="0" headerRowDxfId="18" tableBorderDxfId="17">
  <autoFilter ref="B1:J31" xr:uid="{5A444DA2-B8F3-46FE-96B5-F5BE33D5A18A}"/>
  <tableColumns count="9">
    <tableColumn id="1" xr3:uid="{C45BD51D-B5BA-4C81-8502-67939733967B}" name="Year" dataDxfId="16">
      <calculatedColumnFormula>IF(ISNUMBER(SEARCH("2015",A2)),"2015-16",IF(ISNUMBER(SEARCH("2016",A2)),"2016-17",IF(ISNUMBER(SEARCH("2017",A2)),"2017-18",IF(ISNUMBER(SEARCH("2018",A2)),"2018-19",IF(ISNUMBER(SEARCH("2019",A2)),"2019-20",IF(ISNUMBER(SEARCH("2020",A2)),"2020-21",IF(ISNUMBER(SEARCH("2021",A2)),"2021-22",IF(ISNUMBER(SEARCH("2022",A2)),"2022-23",IF(ISNUMBER(SEARCH("2023",A2)),"2023-24",IF(ISNUMBER(SEARCH("2024",A2)),"2024-25",IF(ISNUMBER(SEARCH("2025",A2)),"2025-26","")))))))))))</calculatedColumnFormula>
    </tableColumn>
    <tableColumn id="2" xr3:uid="{E9BD4507-900A-4487-B46D-F3A04133BCC0}" name="KPI/PI" dataDxfId="15"/>
    <tableColumn id="3" xr3:uid="{FFD30F0C-7188-449B-BE24-7157CA484577}" name="National Highways" dataDxfId="14"/>
    <tableColumn id="4" xr3:uid="{50056F5F-5271-4217-83C9-3CB85CBB9655}" name="Yorkshire and North East"/>
    <tableColumn id="5" xr3:uid="{0481A54A-E04D-4A8C-84A8-196E5D67856A}" name="North West_x000a_"/>
    <tableColumn id="6" xr3:uid="{305B907A-8D0C-4E94-937B-94FD99417B14}" name="Midlands_x000a_"/>
    <tableColumn id="7" xr3:uid="{F3982A6B-D41B-45FF-B5A8-4A5A4FCC05FB}" name="East_x000a_"/>
    <tableColumn id="8" xr3:uid="{BBC3FF41-64FE-422B-A550-F759D00BE13D}" name="South East_x000a_"/>
    <tableColumn id="9" xr3:uid="{B602D901-B5E6-4572-AE6A-FC06DE78998A}" name="South West_x000a_"/>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tionalhighways.co.uk/media/1sralyfr/2020-21-performance-monitoring-statements.xlsx" TargetMode="External"/><Relationship Id="rId13" Type="http://schemas.openxmlformats.org/officeDocument/2006/relationships/hyperlink" Target="https://nationalhighways.co.uk/media/hslebq5b/annual-regional-benchmarking-report-2023-2024-final.pdf" TargetMode="External"/><Relationship Id="rId3" Type="http://schemas.openxmlformats.org/officeDocument/2006/relationships/hyperlink" Target="mailto:highways.monitor@orr.gov.uk" TargetMode="External"/><Relationship Id="rId7" Type="http://schemas.openxmlformats.org/officeDocument/2006/relationships/hyperlink" Target="https://nationalhighways.co.uk/media/01sdbznz/2021-22-performance-monitoring-statements.xlsx" TargetMode="External"/><Relationship Id="rId12" Type="http://schemas.openxmlformats.org/officeDocument/2006/relationships/hyperlink" Target="https://nationalhighways.co.uk/media/fc5c5k0k/abr-v5-171023.pdf" TargetMode="External"/><Relationship Id="rId2" Type="http://schemas.openxmlformats.org/officeDocument/2006/relationships/hyperlink" Target="https://nationalhighways.co.uk/media/qe1cjb2b/nh-srn-simplified-map-2023.pdf" TargetMode="External"/><Relationship Id="rId1" Type="http://schemas.openxmlformats.org/officeDocument/2006/relationships/hyperlink" Target="https://nationalhighways.co.uk/media/5paempnz/ris2-omm-published-18-july-2023-final.pdf" TargetMode="External"/><Relationship Id="rId6" Type="http://schemas.openxmlformats.org/officeDocument/2006/relationships/hyperlink" Target="https://nationalhighways.co.uk/media/tx1hdslj/2022-23-performance-monitoring-statements.xlsx" TargetMode="External"/><Relationship Id="rId11" Type="http://schemas.openxmlformats.org/officeDocument/2006/relationships/hyperlink" Target="https://nationalhighways.co.uk/media/b0jdsyzl/2021-22-nh-regional-performance-disaggregation-final.xlsx" TargetMode="External"/><Relationship Id="rId5" Type="http://schemas.openxmlformats.org/officeDocument/2006/relationships/hyperlink" Target="https://nationalhighways.co.uk/media/hymao3xw/20240719-national-highways-performance-monitoring-statements-year-end-2023-24.pdf" TargetMode="External"/><Relationship Id="rId10" Type="http://schemas.openxmlformats.org/officeDocument/2006/relationships/hyperlink" Target="https://nationalhighways.co.uk/media/3smeti4y/2020-21-highways-england-regional-performance-disaggregation-1.xlsx" TargetMode="External"/><Relationship Id="rId4" Type="http://schemas.openxmlformats.org/officeDocument/2006/relationships/hyperlink" Target="https://nationalhighways.co.uk/media/hf3g525d/2024-25-national-highways-performance-monitoring-statements.pdf" TargetMode="External"/><Relationship Id="rId9" Type="http://schemas.openxmlformats.org/officeDocument/2006/relationships/hyperlink" Target="https://nationalhighways.co.uk/media/enoh0bhu/performance-monitoring-statements-2019-20.xlsm"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1.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2"/>
  <sheetViews>
    <sheetView tabSelected="1" zoomScaleNormal="100" workbookViewId="0"/>
  </sheetViews>
  <sheetFormatPr defaultColWidth="9" defaultRowHeight="15.5"/>
  <cols>
    <col min="1" max="1" width="152.54296875" style="3" customWidth="1"/>
    <col min="2" max="2" width="9" style="3" customWidth="1"/>
    <col min="3" max="3" width="10.54296875" style="3" bestFit="1" customWidth="1"/>
    <col min="4" max="16384" width="9" style="3"/>
  </cols>
  <sheetData>
    <row r="1" spans="1:1" customFormat="1" ht="30" customHeight="1">
      <c r="A1" s="99" t="s">
        <v>0</v>
      </c>
    </row>
    <row r="2" spans="1:1" customFormat="1" ht="375.75" customHeight="1">
      <c r="A2" s="1" t="s">
        <v>1</v>
      </c>
    </row>
    <row r="3" spans="1:1" customFormat="1" ht="87" customHeight="1">
      <c r="A3" s="1" t="s">
        <v>2</v>
      </c>
    </row>
    <row r="4" spans="1:1" customFormat="1">
      <c r="A4" s="33" t="s">
        <v>3</v>
      </c>
    </row>
    <row r="5" spans="1:1" customFormat="1" ht="31">
      <c r="A5" s="1" t="s">
        <v>4</v>
      </c>
    </row>
    <row r="6" spans="1:1" customFormat="1" ht="21.75" customHeight="1">
      <c r="A6" s="1" t="s">
        <v>5</v>
      </c>
    </row>
    <row r="7" spans="1:1" customFormat="1">
      <c r="A7" s="24" t="s">
        <v>6</v>
      </c>
    </row>
    <row r="8" spans="1:1" customFormat="1" ht="18.5">
      <c r="A8" s="27" t="s">
        <v>7</v>
      </c>
    </row>
    <row r="9" spans="1:1" customFormat="1">
      <c r="A9" s="1" t="s">
        <v>8</v>
      </c>
    </row>
    <row r="10" spans="1:1" customFormat="1">
      <c r="A10" s="84" t="s">
        <v>9</v>
      </c>
    </row>
    <row r="11" spans="1:1" customFormat="1">
      <c r="A11" s="84" t="s">
        <v>10</v>
      </c>
    </row>
    <row r="12" spans="1:1" customFormat="1">
      <c r="A12" s="84" t="s">
        <v>11</v>
      </c>
    </row>
    <row r="13" spans="1:1" customFormat="1">
      <c r="A13" s="103" t="s">
        <v>12</v>
      </c>
    </row>
    <row r="14" spans="1:1" customFormat="1">
      <c r="A14" s="104" t="s">
        <v>13</v>
      </c>
    </row>
    <row r="15" spans="1:1" customFormat="1">
      <c r="A15" s="84" t="s">
        <v>14</v>
      </c>
    </row>
    <row r="16" spans="1:1" customFormat="1">
      <c r="A16" s="2" t="s">
        <v>15</v>
      </c>
    </row>
    <row r="17" spans="1:1" customFormat="1">
      <c r="A17" s="105" t="s">
        <v>16</v>
      </c>
    </row>
    <row r="18" spans="1:1" s="77" customFormat="1" ht="17.25" customHeight="1">
      <c r="A18" s="106" t="s">
        <v>17</v>
      </c>
    </row>
    <row r="19" spans="1:1" customFormat="1">
      <c r="A19" s="33" t="s">
        <v>18</v>
      </c>
    </row>
    <row r="20" spans="1:1" customFormat="1">
      <c r="A20" s="106" t="s">
        <v>19</v>
      </c>
    </row>
    <row r="21" spans="1:1" customFormat="1">
      <c r="A21" s="17" t="s">
        <v>20</v>
      </c>
    </row>
    <row r="22" spans="1:1" customFormat="1" ht="18.5">
      <c r="A22" s="28" t="s">
        <v>21</v>
      </c>
    </row>
    <row r="23" spans="1:1" customFormat="1">
      <c r="A23" s="19" t="s">
        <v>22</v>
      </c>
    </row>
    <row r="24" spans="1:1" customFormat="1" ht="18.5">
      <c r="A24" s="29" t="s">
        <v>23</v>
      </c>
    </row>
    <row r="25" spans="1:1" customFormat="1">
      <c r="A25" s="19" t="s">
        <v>24</v>
      </c>
    </row>
    <row r="26" spans="1:1" customFormat="1" ht="18.5">
      <c r="A26" s="29" t="s">
        <v>25</v>
      </c>
    </row>
    <row r="27" spans="1:1" customFormat="1">
      <c r="A27" s="19" t="s">
        <v>26</v>
      </c>
    </row>
    <row r="28" spans="1:1" customFormat="1" ht="18.5">
      <c r="A28" s="30" t="s">
        <v>27</v>
      </c>
    </row>
    <row r="29" spans="1:1" customFormat="1">
      <c r="A29" s="2" t="s">
        <v>28</v>
      </c>
    </row>
    <row r="30" spans="1:1" customFormat="1" ht="18.5">
      <c r="A30" s="31" t="s">
        <v>29</v>
      </c>
    </row>
    <row r="31" spans="1:1" customFormat="1">
      <c r="A31" s="25" t="s">
        <v>30</v>
      </c>
    </row>
    <row r="32" spans="1:1" customFormat="1">
      <c r="A32" s="2" t="s">
        <v>31</v>
      </c>
    </row>
  </sheetData>
  <hyperlinks>
    <hyperlink ref="A7" r:id="rId1" xr:uid="{643DA681-8144-4BAE-A12D-D207A46555E6}"/>
    <hyperlink ref="A4" r:id="rId2" display="National Highway's roads" xr:uid="{CF7FECCE-7247-4AC6-B361-B91B6F358430}"/>
    <hyperlink ref="A31" r:id="rId3" xr:uid="{99BE05ED-EF6D-48BA-834D-5C8F3940308F}"/>
    <hyperlink ref="A10" r:id="rId4" xr:uid="{30982CEC-ACA6-485C-9F94-61526975147C}"/>
    <hyperlink ref="A11" r:id="rId5" xr:uid="{14DD098A-276F-44AA-B03B-8D2533CF7C59}"/>
    <hyperlink ref="A12" r:id="rId6" xr:uid="{460C11A0-BCA0-4C9D-B40F-C78C60191C0D}"/>
    <hyperlink ref="A13" r:id="rId7" xr:uid="{BFFB4CD8-C26A-482D-9C1E-8123F6DA3F64}"/>
    <hyperlink ref="A14" r:id="rId8" xr:uid="{7CCDE679-4AC6-4B7C-BCAE-28925B2D2993}"/>
    <hyperlink ref="A15" r:id="rId9" xr:uid="{062DF309-9AFD-4626-91AD-13658839ADB0}"/>
    <hyperlink ref="A20" r:id="rId10" xr:uid="{F8FE6952-AA64-4FE0-8EF5-833DF934E6C7}"/>
    <hyperlink ref="A19" r:id="rId11" xr:uid="{E751AE35-8FA4-4AD3-91D4-CD0886F11E70}"/>
    <hyperlink ref="A18" r:id="rId12" xr:uid="{525505CA-6056-44C4-A987-825CACFABD6E}"/>
    <hyperlink ref="A17" r:id="rId13" xr:uid="{C7931CE3-206A-4491-A361-33297756D022}"/>
  </hyperlinks>
  <pageMargins left="0.70000000000000007" right="0.70000000000000007" top="0.75" bottom="0.75" header="0.30000000000000004" footer="0.30000000000000004"/>
  <pageSetup paperSize="9" fitToWidth="0" fitToHeight="0"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9"/>
  <sheetViews>
    <sheetView zoomScaleNormal="100" workbookViewId="0"/>
  </sheetViews>
  <sheetFormatPr defaultRowHeight="14.5"/>
  <cols>
    <col min="1" max="1" width="16.453125" customWidth="1"/>
    <col min="2" max="2" width="100.54296875" customWidth="1"/>
    <col min="3" max="3" width="9" customWidth="1"/>
  </cols>
  <sheetData>
    <row r="1" spans="1:2" ht="23.5">
      <c r="A1" s="4" t="s">
        <v>32</v>
      </c>
      <c r="B1" s="13"/>
    </row>
    <row r="2" spans="1:2" ht="15.5">
      <c r="A2" s="3" t="s">
        <v>33</v>
      </c>
      <c r="B2" s="5"/>
    </row>
    <row r="3" spans="1:2" ht="15.5">
      <c r="A3" s="6" t="s">
        <v>34</v>
      </c>
      <c r="B3" s="7" t="s">
        <v>35</v>
      </c>
    </row>
    <row r="4" spans="1:2" ht="31">
      <c r="A4" s="20" t="s">
        <v>36</v>
      </c>
      <c r="B4" s="2" t="s">
        <v>37</v>
      </c>
    </row>
    <row r="5" spans="1:2" ht="15.5">
      <c r="A5" s="20" t="s">
        <v>38</v>
      </c>
      <c r="B5" s="2" t="s">
        <v>39</v>
      </c>
    </row>
    <row r="6" spans="1:2" ht="15.5">
      <c r="A6" s="20" t="s">
        <v>40</v>
      </c>
      <c r="B6" s="2" t="s">
        <v>41</v>
      </c>
    </row>
    <row r="7" spans="1:2" ht="62">
      <c r="A7" s="20" t="s">
        <v>42</v>
      </c>
      <c r="B7" s="2" t="s">
        <v>43</v>
      </c>
    </row>
    <row r="8" spans="1:2" ht="31">
      <c r="A8" s="20" t="s">
        <v>44</v>
      </c>
      <c r="B8" s="2" t="s">
        <v>45</v>
      </c>
    </row>
    <row r="9" spans="1:2" ht="15.5">
      <c r="A9" s="20"/>
      <c r="B9" s="2"/>
    </row>
  </sheetData>
  <phoneticPr fontId="165" type="noConversion"/>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8"/>
  <sheetViews>
    <sheetView zoomScaleNormal="100" workbookViewId="0"/>
  </sheetViews>
  <sheetFormatPr defaultRowHeight="14.5"/>
  <cols>
    <col min="1" max="1" width="34" bestFit="1" customWidth="1"/>
    <col min="2" max="2" width="104" customWidth="1"/>
  </cols>
  <sheetData>
    <row r="1" spans="1:2" ht="23.5">
      <c r="A1" s="14" t="s">
        <v>46</v>
      </c>
      <c r="B1" s="2"/>
    </row>
    <row r="2" spans="1:2" ht="15.5">
      <c r="A2" s="21" t="s">
        <v>47</v>
      </c>
      <c r="B2" s="2"/>
    </row>
    <row r="3" spans="1:2" ht="15.5">
      <c r="A3" s="15" t="s">
        <v>48</v>
      </c>
      <c r="B3" s="16" t="s">
        <v>49</v>
      </c>
    </row>
    <row r="4" spans="1:2" ht="46.5">
      <c r="A4" s="32" t="s">
        <v>50</v>
      </c>
      <c r="B4" s="22" t="s">
        <v>51</v>
      </c>
    </row>
    <row r="5" spans="1:2" ht="31">
      <c r="A5" s="32" t="s">
        <v>52</v>
      </c>
      <c r="B5" s="22" t="s">
        <v>53</v>
      </c>
    </row>
    <row r="6" spans="1:2" ht="15.5">
      <c r="A6" s="32" t="s">
        <v>54</v>
      </c>
      <c r="B6" s="22" t="s">
        <v>55</v>
      </c>
    </row>
    <row r="7" spans="1:2" ht="31">
      <c r="A7" s="32" t="s">
        <v>56</v>
      </c>
      <c r="B7" s="22" t="s">
        <v>57</v>
      </c>
    </row>
    <row r="8" spans="1:2" ht="31">
      <c r="A8" s="32" t="s">
        <v>58</v>
      </c>
      <c r="B8" s="22" t="s">
        <v>59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253268"/>
  </sheetPr>
  <dimension ref="A1:H15"/>
  <sheetViews>
    <sheetView zoomScaleNormal="100" workbookViewId="0"/>
  </sheetViews>
  <sheetFormatPr defaultColWidth="9" defaultRowHeight="14.5"/>
  <cols>
    <col min="1" max="1" width="50.54296875" customWidth="1"/>
    <col min="2" max="8" width="20.54296875" style="12" customWidth="1"/>
  </cols>
  <sheetData>
    <row r="1" spans="1:8" ht="30" customHeight="1">
      <c r="A1" s="76" t="s">
        <v>60</v>
      </c>
    </row>
    <row r="2" spans="1:8" s="40" customFormat="1" ht="20.149999999999999" customHeight="1">
      <c r="A2" s="20" t="s">
        <v>47</v>
      </c>
    </row>
    <row r="3" spans="1:8" s="40" customFormat="1" ht="20.149999999999999" customHeight="1">
      <c r="A3" s="75" t="s">
        <v>61</v>
      </c>
      <c r="B3" s="64"/>
      <c r="C3" s="64"/>
      <c r="D3" s="64"/>
      <c r="E3" s="65"/>
      <c r="F3" s="65"/>
      <c r="G3" s="65"/>
    </row>
    <row r="4" spans="1:8" s="40" customFormat="1" ht="20.149999999999999" customHeight="1">
      <c r="A4" s="66" t="s">
        <v>62</v>
      </c>
      <c r="C4" s="20"/>
      <c r="E4" s="20"/>
      <c r="G4" s="20"/>
    </row>
    <row r="5" spans="1:8" s="11" customFormat="1" ht="50.5" customHeight="1">
      <c r="A5" s="10" t="s">
        <v>63</v>
      </c>
      <c r="B5" s="26" t="s">
        <v>64</v>
      </c>
      <c r="C5" s="18" t="s">
        <v>65</v>
      </c>
      <c r="D5" s="18" t="s">
        <v>66</v>
      </c>
      <c r="E5" s="18" t="s">
        <v>67</v>
      </c>
      <c r="F5" s="18" t="s">
        <v>68</v>
      </c>
      <c r="G5" s="18" t="s">
        <v>69</v>
      </c>
      <c r="H5" s="18" t="s">
        <v>70</v>
      </c>
    </row>
    <row r="6" spans="1:8" s="11" customFormat="1" ht="20.25" customHeight="1">
      <c r="A6" s="34" t="s">
        <v>71</v>
      </c>
      <c r="B6" s="68">
        <v>92.300000000000011</v>
      </c>
      <c r="C6" s="69">
        <v>93.179999999999993</v>
      </c>
      <c r="D6" s="69">
        <v>95.04</v>
      </c>
      <c r="E6" s="69">
        <v>89.56</v>
      </c>
      <c r="F6" s="69">
        <v>90.539999999999992</v>
      </c>
      <c r="G6" s="69">
        <v>93.67</v>
      </c>
      <c r="H6" s="69">
        <v>93.47</v>
      </c>
    </row>
    <row r="7" spans="1:8" s="11" customFormat="1" ht="20.25" customHeight="1">
      <c r="A7" s="34" t="s">
        <v>72</v>
      </c>
      <c r="B7" s="68">
        <v>94.3</v>
      </c>
      <c r="C7" s="69">
        <v>95.199999999999989</v>
      </c>
      <c r="D7" s="69">
        <v>97.1</v>
      </c>
      <c r="E7" s="69">
        <v>91.5</v>
      </c>
      <c r="F7" s="69">
        <v>92.5</v>
      </c>
      <c r="G7" s="69">
        <v>95.7</v>
      </c>
      <c r="H7" s="69">
        <v>95.5</v>
      </c>
    </row>
    <row r="8" spans="1:8" s="11" customFormat="1" ht="20.25" customHeight="1">
      <c r="A8" s="34" t="s">
        <v>73</v>
      </c>
      <c r="B8" s="68">
        <v>95.199999999999989</v>
      </c>
      <c r="C8" s="69">
        <v>95.3</v>
      </c>
      <c r="D8" s="69">
        <v>97.399999999999991</v>
      </c>
      <c r="E8" s="69">
        <v>93.5</v>
      </c>
      <c r="F8" s="69">
        <v>92.600000000000009</v>
      </c>
      <c r="G8" s="69">
        <v>96.7</v>
      </c>
      <c r="H8" s="69">
        <v>96.7</v>
      </c>
    </row>
    <row r="9" spans="1:8" s="11" customFormat="1" ht="20.25" customHeight="1">
      <c r="A9" s="34" t="s">
        <v>74</v>
      </c>
      <c r="B9" s="68">
        <v>95.5</v>
      </c>
      <c r="C9" s="69">
        <v>96.8</v>
      </c>
      <c r="D9" s="69">
        <v>97.2</v>
      </c>
      <c r="E9" s="69">
        <v>93.5</v>
      </c>
      <c r="F9" s="69">
        <v>94</v>
      </c>
      <c r="G9" s="69">
        <v>96.6</v>
      </c>
      <c r="H9" s="69">
        <v>96.1</v>
      </c>
    </row>
    <row r="10" spans="1:8" s="11" customFormat="1" ht="20.25" customHeight="1" thickBot="1">
      <c r="A10" s="35" t="s">
        <v>75</v>
      </c>
      <c r="B10" s="70">
        <v>95.4</v>
      </c>
      <c r="C10" s="71">
        <v>96.899999999999991</v>
      </c>
      <c r="D10" s="71">
        <v>96.7</v>
      </c>
      <c r="E10" s="71">
        <v>93.7</v>
      </c>
      <c r="F10" s="71">
        <v>94.3</v>
      </c>
      <c r="G10" s="71">
        <v>96.5</v>
      </c>
      <c r="H10" s="69">
        <v>95.3</v>
      </c>
    </row>
    <row r="11" spans="1:8" ht="20.25" customHeight="1" thickTop="1">
      <c r="A11" s="34" t="s">
        <v>76</v>
      </c>
      <c r="B11" s="72">
        <v>95.199999999999989</v>
      </c>
      <c r="C11" s="69">
        <v>95.6</v>
      </c>
      <c r="D11" s="69">
        <v>97.2</v>
      </c>
      <c r="E11" s="69">
        <v>94.399999999999991</v>
      </c>
      <c r="F11" s="69">
        <v>92.100000000000009</v>
      </c>
      <c r="G11" s="69">
        <v>96.6</v>
      </c>
      <c r="H11" s="73">
        <v>96</v>
      </c>
    </row>
    <row r="12" spans="1:8" ht="20.25" customHeight="1">
      <c r="A12" s="34" t="s">
        <v>77</v>
      </c>
      <c r="B12" s="72">
        <v>95.5</v>
      </c>
      <c r="C12" s="69">
        <v>96</v>
      </c>
      <c r="D12" s="69">
        <v>96.4</v>
      </c>
      <c r="E12" s="69">
        <v>94.3</v>
      </c>
      <c r="F12" s="69">
        <v>93.2</v>
      </c>
      <c r="G12" s="69">
        <v>96.4</v>
      </c>
      <c r="H12" s="69">
        <v>97.3</v>
      </c>
    </row>
    <row r="13" spans="1:8" ht="20.25" customHeight="1">
      <c r="A13" s="10" t="s">
        <v>78</v>
      </c>
      <c r="B13" s="72">
        <v>96.2</v>
      </c>
      <c r="C13" s="69">
        <v>96.99</v>
      </c>
      <c r="D13" s="69">
        <v>96.84</v>
      </c>
      <c r="E13" s="69">
        <v>95.61</v>
      </c>
      <c r="F13" s="69">
        <v>93.61</v>
      </c>
      <c r="G13" s="69">
        <v>96.79</v>
      </c>
      <c r="H13" s="69">
        <v>97.64</v>
      </c>
    </row>
    <row r="14" spans="1:8" ht="20.25" customHeight="1">
      <c r="A14" s="10" t="s">
        <v>79</v>
      </c>
      <c r="B14" s="72">
        <v>96.2</v>
      </c>
      <c r="C14" s="69">
        <v>97.9</v>
      </c>
      <c r="D14" s="69">
        <v>97.4</v>
      </c>
      <c r="E14" s="69">
        <v>94.8</v>
      </c>
      <c r="F14" s="69">
        <v>92.7</v>
      </c>
      <c r="G14" s="69">
        <v>97.3</v>
      </c>
      <c r="H14" s="69">
        <v>97.4</v>
      </c>
    </row>
    <row r="15" spans="1:8" ht="20.25" customHeight="1">
      <c r="A15" s="10" t="s">
        <v>80</v>
      </c>
      <c r="B15" s="101">
        <v>96.5</v>
      </c>
      <c r="C15" s="79" t="s">
        <v>81</v>
      </c>
      <c r="D15" s="79" t="s">
        <v>81</v>
      </c>
      <c r="E15" s="79" t="s">
        <v>81</v>
      </c>
      <c r="F15" s="79" t="s">
        <v>81</v>
      </c>
      <c r="G15" s="79" t="s">
        <v>81</v>
      </c>
      <c r="H15" s="79" t="s">
        <v>81</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5">
    <tabColor rgb="FF253268"/>
  </sheetPr>
  <dimension ref="A1:H14"/>
  <sheetViews>
    <sheetView zoomScaleNormal="100" workbookViewId="0"/>
  </sheetViews>
  <sheetFormatPr defaultColWidth="9" defaultRowHeight="14.5"/>
  <cols>
    <col min="1" max="1" width="50.54296875" customWidth="1"/>
    <col min="2" max="2" width="20.54296875" style="12" customWidth="1"/>
    <col min="3" max="8" width="18.54296875" style="12" customWidth="1"/>
  </cols>
  <sheetData>
    <row r="1" spans="1:8" ht="30" customHeight="1">
      <c r="A1" s="8" t="s">
        <v>82</v>
      </c>
    </row>
    <row r="2" spans="1:8" ht="20.149999999999999" customHeight="1">
      <c r="A2" s="9" t="s">
        <v>47</v>
      </c>
    </row>
    <row r="3" spans="1:8" s="64" customFormat="1" ht="20.149999999999999" customHeight="1">
      <c r="A3" s="75" t="s">
        <v>61</v>
      </c>
    </row>
    <row r="4" spans="1:8" s="11" customFormat="1" ht="50.25" customHeight="1">
      <c r="A4" s="10" t="s">
        <v>63</v>
      </c>
      <c r="B4" s="26" t="s">
        <v>64</v>
      </c>
      <c r="C4" s="18" t="s">
        <v>65</v>
      </c>
      <c r="D4" s="18" t="s">
        <v>66</v>
      </c>
      <c r="E4" s="18" t="s">
        <v>67</v>
      </c>
      <c r="F4" s="18" t="s">
        <v>68</v>
      </c>
      <c r="G4" s="18" t="s">
        <v>69</v>
      </c>
      <c r="H4" s="18" t="s">
        <v>70</v>
      </c>
    </row>
    <row r="5" spans="1:8" s="11" customFormat="1" ht="20.149999999999999" customHeight="1">
      <c r="A5" s="34" t="s">
        <v>71</v>
      </c>
      <c r="B5" s="68">
        <v>79.100000000000009</v>
      </c>
      <c r="C5" s="69" t="s">
        <v>81</v>
      </c>
      <c r="D5" s="69" t="s">
        <v>81</v>
      </c>
      <c r="E5" s="69" t="s">
        <v>81</v>
      </c>
      <c r="F5" s="69" t="s">
        <v>81</v>
      </c>
      <c r="G5" s="69" t="s">
        <v>81</v>
      </c>
      <c r="H5" s="69" t="s">
        <v>81</v>
      </c>
    </row>
    <row r="6" spans="1:8" s="11" customFormat="1" ht="20.149999999999999" customHeight="1">
      <c r="A6" s="34" t="s">
        <v>72</v>
      </c>
      <c r="B6" s="68">
        <v>79.2</v>
      </c>
      <c r="C6" s="69" t="s">
        <v>81</v>
      </c>
      <c r="D6" s="69" t="s">
        <v>81</v>
      </c>
      <c r="E6" s="69" t="s">
        <v>81</v>
      </c>
      <c r="F6" s="69" t="s">
        <v>81</v>
      </c>
      <c r="G6" s="69" t="s">
        <v>81</v>
      </c>
      <c r="H6" s="69" t="s">
        <v>81</v>
      </c>
    </row>
    <row r="7" spans="1:8" s="11" customFormat="1" ht="20.149999999999999" customHeight="1">
      <c r="A7" s="34" t="s">
        <v>73</v>
      </c>
      <c r="B7" s="68">
        <v>79.800000000000011</v>
      </c>
      <c r="C7" s="69" t="s">
        <v>81</v>
      </c>
      <c r="D7" s="69" t="s">
        <v>81</v>
      </c>
      <c r="E7" s="69" t="s">
        <v>81</v>
      </c>
      <c r="F7" s="69" t="s">
        <v>81</v>
      </c>
      <c r="G7" s="69" t="s">
        <v>81</v>
      </c>
      <c r="H7" s="69" t="s">
        <v>81</v>
      </c>
    </row>
    <row r="8" spans="1:8" s="11" customFormat="1" ht="20.149999999999999" customHeight="1">
      <c r="A8" s="34" t="s">
        <v>74</v>
      </c>
      <c r="B8" s="68">
        <v>79.800000000000011</v>
      </c>
      <c r="C8" s="69" t="s">
        <v>81</v>
      </c>
      <c r="D8" s="69" t="s">
        <v>81</v>
      </c>
      <c r="E8" s="69" t="s">
        <v>81</v>
      </c>
      <c r="F8" s="69" t="s">
        <v>81</v>
      </c>
      <c r="G8" s="69" t="s">
        <v>81</v>
      </c>
      <c r="H8" s="69" t="s">
        <v>81</v>
      </c>
    </row>
    <row r="9" spans="1:8" s="11" customFormat="1" ht="20.149999999999999" customHeight="1" thickBot="1">
      <c r="A9" s="35" t="s">
        <v>75</v>
      </c>
      <c r="B9" s="70">
        <v>80.489999999999995</v>
      </c>
      <c r="C9" s="74" t="s">
        <v>81</v>
      </c>
      <c r="D9" s="71" t="s">
        <v>81</v>
      </c>
      <c r="E9" s="71" t="s">
        <v>81</v>
      </c>
      <c r="F9" s="71" t="s">
        <v>81</v>
      </c>
      <c r="G9" s="71" t="s">
        <v>81</v>
      </c>
      <c r="H9" s="71" t="s">
        <v>81</v>
      </c>
    </row>
    <row r="10" spans="1:8" s="11" customFormat="1" ht="20.25" customHeight="1" thickTop="1">
      <c r="A10" s="10" t="s">
        <v>83</v>
      </c>
      <c r="B10" s="36">
        <v>81.2</v>
      </c>
      <c r="C10" s="37">
        <v>83.63</v>
      </c>
      <c r="D10" s="37">
        <v>84.24</v>
      </c>
      <c r="E10" s="37">
        <v>84.38</v>
      </c>
      <c r="F10" s="37">
        <v>84.82</v>
      </c>
      <c r="G10" s="37">
        <v>88.4</v>
      </c>
      <c r="H10" s="37">
        <v>85.48</v>
      </c>
    </row>
    <row r="11" spans="1:8" s="11" customFormat="1" ht="20.25" customHeight="1">
      <c r="A11" s="23" t="s">
        <v>84</v>
      </c>
      <c r="B11" s="36">
        <v>81</v>
      </c>
      <c r="C11" s="37">
        <v>83.63</v>
      </c>
      <c r="D11" s="37">
        <v>84.24</v>
      </c>
      <c r="E11" s="37">
        <v>86.42</v>
      </c>
      <c r="F11" s="37">
        <v>84.82</v>
      </c>
      <c r="G11" s="37">
        <v>88.4</v>
      </c>
      <c r="H11" s="37">
        <v>85.48</v>
      </c>
    </row>
    <row r="12" spans="1:8" s="11" customFormat="1" ht="20.25" customHeight="1">
      <c r="A12" s="10" t="s">
        <v>85</v>
      </c>
      <c r="B12" s="36">
        <v>81.400000000000006</v>
      </c>
      <c r="C12" s="37">
        <v>84.6</v>
      </c>
      <c r="D12" s="37">
        <v>83.5</v>
      </c>
      <c r="E12" s="37">
        <v>85.7</v>
      </c>
      <c r="F12" s="37">
        <v>83.6</v>
      </c>
      <c r="G12" s="37">
        <v>88.1</v>
      </c>
      <c r="H12" s="37">
        <v>84.7</v>
      </c>
    </row>
    <row r="13" spans="1:8" s="11" customFormat="1" ht="20.25" customHeight="1">
      <c r="A13" s="10" t="s">
        <v>86</v>
      </c>
      <c r="B13" s="36">
        <v>82.2</v>
      </c>
      <c r="C13" s="37">
        <v>84.7</v>
      </c>
      <c r="D13" s="37">
        <v>82.9</v>
      </c>
      <c r="E13" s="37">
        <v>87.4</v>
      </c>
      <c r="F13" s="37">
        <v>82.9</v>
      </c>
      <c r="G13" s="37">
        <v>87.9</v>
      </c>
      <c r="H13" s="37">
        <v>85.1</v>
      </c>
    </row>
    <row r="14" spans="1:8" ht="20.25" customHeight="1">
      <c r="A14" s="10" t="s">
        <v>87</v>
      </c>
      <c r="B14" s="36">
        <v>81.099999999999994</v>
      </c>
      <c r="C14" s="37" t="s">
        <v>81</v>
      </c>
      <c r="D14" s="37" t="s">
        <v>81</v>
      </c>
      <c r="E14" s="37" t="s">
        <v>81</v>
      </c>
      <c r="F14" s="37" t="s">
        <v>81</v>
      </c>
      <c r="G14" s="37" t="s">
        <v>81</v>
      </c>
      <c r="H14" s="37" t="s">
        <v>81</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6">
    <tabColor rgb="FF253268"/>
  </sheetPr>
  <dimension ref="A1:B8"/>
  <sheetViews>
    <sheetView zoomScaleNormal="100" workbookViewId="0"/>
  </sheetViews>
  <sheetFormatPr defaultRowHeight="14.5"/>
  <cols>
    <col min="1" max="1" width="50.54296875" customWidth="1"/>
    <col min="2" max="8" width="20.54296875" customWidth="1"/>
  </cols>
  <sheetData>
    <row r="1" spans="1:2" ht="30" customHeight="1">
      <c r="A1" s="8" t="s">
        <v>88</v>
      </c>
      <c r="B1" s="8"/>
    </row>
    <row r="2" spans="1:2" ht="20.149999999999999" customHeight="1">
      <c r="A2" s="20" t="s">
        <v>47</v>
      </c>
      <c r="B2" s="49"/>
    </row>
    <row r="3" spans="1:2" ht="50.25" customHeight="1">
      <c r="A3" s="10" t="s">
        <v>63</v>
      </c>
      <c r="B3" s="18" t="s">
        <v>64</v>
      </c>
    </row>
    <row r="4" spans="1:2" ht="20.25" customHeight="1">
      <c r="A4" s="10" t="s">
        <v>83</v>
      </c>
      <c r="B4" s="37">
        <v>95.1</v>
      </c>
    </row>
    <row r="5" spans="1:2" ht="20.25" customHeight="1">
      <c r="A5" s="23" t="s">
        <v>84</v>
      </c>
      <c r="B5" s="37">
        <v>96.8</v>
      </c>
    </row>
    <row r="6" spans="1:2" ht="20.25" customHeight="1">
      <c r="A6" s="10" t="s">
        <v>85</v>
      </c>
      <c r="B6" s="100">
        <v>95.3</v>
      </c>
    </row>
    <row r="7" spans="1:2" ht="20.25" customHeight="1">
      <c r="A7" s="10" t="s">
        <v>86</v>
      </c>
      <c r="B7" s="100">
        <v>91.4</v>
      </c>
    </row>
    <row r="8" spans="1:2" ht="20.25" customHeight="1">
      <c r="A8" s="10" t="s">
        <v>87</v>
      </c>
      <c r="B8" s="100">
        <v>90</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8B11-D71A-4685-968B-32565E5D27A2}">
  <sheetPr codeName="Sheet7">
    <tabColor rgb="FF253268"/>
  </sheetPr>
  <dimension ref="A1:H8"/>
  <sheetViews>
    <sheetView zoomScaleNormal="100" workbookViewId="0"/>
  </sheetViews>
  <sheetFormatPr defaultRowHeight="14.5"/>
  <cols>
    <col min="1" max="1" width="50.54296875" customWidth="1"/>
    <col min="2" max="8" width="20.54296875" customWidth="1"/>
  </cols>
  <sheetData>
    <row r="1" spans="1:8" ht="30" customHeight="1">
      <c r="A1" s="49" t="s">
        <v>89</v>
      </c>
      <c r="B1" s="12"/>
      <c r="C1" s="12"/>
      <c r="D1" s="12"/>
      <c r="E1" s="12"/>
      <c r="F1" s="12"/>
      <c r="G1" s="12"/>
      <c r="H1" s="12"/>
    </row>
    <row r="2" spans="1:8" ht="20.149999999999999" customHeight="1">
      <c r="A2" s="9" t="s">
        <v>47</v>
      </c>
      <c r="B2" s="12"/>
      <c r="C2" s="12"/>
      <c r="D2" s="12"/>
      <c r="E2" s="12"/>
      <c r="F2" s="12"/>
      <c r="G2" s="12"/>
      <c r="H2" s="12"/>
    </row>
    <row r="3" spans="1:8" ht="50.25" customHeight="1">
      <c r="A3" s="10" t="s">
        <v>63</v>
      </c>
      <c r="B3" s="26" t="s">
        <v>64</v>
      </c>
      <c r="C3" s="18" t="s">
        <v>65</v>
      </c>
      <c r="D3" s="18" t="s">
        <v>66</v>
      </c>
      <c r="E3" s="18" t="s">
        <v>67</v>
      </c>
      <c r="F3" s="18" t="s">
        <v>68</v>
      </c>
      <c r="G3" s="18" t="s">
        <v>69</v>
      </c>
      <c r="H3" s="18" t="s">
        <v>70</v>
      </c>
    </row>
    <row r="4" spans="1:8" ht="20.25" customHeight="1">
      <c r="A4" s="10" t="s">
        <v>90</v>
      </c>
      <c r="B4" s="81">
        <v>72</v>
      </c>
      <c r="C4" s="82">
        <v>70</v>
      </c>
      <c r="D4" s="82">
        <v>69</v>
      </c>
      <c r="E4" s="82">
        <v>66</v>
      </c>
      <c r="F4" s="82">
        <v>85</v>
      </c>
      <c r="G4" s="82">
        <v>68</v>
      </c>
      <c r="H4" s="82">
        <v>79</v>
      </c>
    </row>
    <row r="5" spans="1:8" ht="20.25" customHeight="1">
      <c r="A5" s="23" t="s">
        <v>84</v>
      </c>
      <c r="B5" s="81">
        <v>71</v>
      </c>
      <c r="C5" s="83">
        <v>69</v>
      </c>
      <c r="D5" s="83">
        <v>68</v>
      </c>
      <c r="E5" s="83">
        <v>67</v>
      </c>
      <c r="F5" s="83">
        <v>82</v>
      </c>
      <c r="G5" s="83">
        <v>68</v>
      </c>
      <c r="H5" s="83">
        <v>77</v>
      </c>
    </row>
    <row r="6" spans="1:8" ht="20.25" customHeight="1">
      <c r="A6" s="10" t="s">
        <v>85</v>
      </c>
      <c r="B6" s="81">
        <v>69</v>
      </c>
      <c r="C6" s="82">
        <v>69</v>
      </c>
      <c r="D6" s="82">
        <v>70</v>
      </c>
      <c r="E6" s="82">
        <v>66</v>
      </c>
      <c r="F6" s="82">
        <v>77</v>
      </c>
      <c r="G6" s="82">
        <v>64</v>
      </c>
      <c r="H6" s="82">
        <v>64</v>
      </c>
    </row>
    <row r="7" spans="1:8" ht="20.25" customHeight="1">
      <c r="A7" s="10" t="s">
        <v>86</v>
      </c>
      <c r="B7" s="81">
        <v>64</v>
      </c>
      <c r="C7" s="82">
        <v>65</v>
      </c>
      <c r="D7" s="82">
        <v>68</v>
      </c>
      <c r="E7" s="82">
        <v>63</v>
      </c>
      <c r="F7" s="82">
        <v>73</v>
      </c>
      <c r="G7" s="82">
        <v>60</v>
      </c>
      <c r="H7" s="82">
        <v>59</v>
      </c>
    </row>
    <row r="8" spans="1:8" ht="20.25" customHeight="1">
      <c r="A8" s="10" t="s">
        <v>87</v>
      </c>
      <c r="B8" s="81">
        <v>72</v>
      </c>
      <c r="C8" s="37" t="s">
        <v>81</v>
      </c>
      <c r="D8" s="37" t="s">
        <v>81</v>
      </c>
      <c r="E8" s="37" t="s">
        <v>81</v>
      </c>
      <c r="F8" s="37" t="s">
        <v>81</v>
      </c>
      <c r="G8" s="37" t="s">
        <v>81</v>
      </c>
      <c r="H8" s="37" t="s">
        <v>81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A8B-5E97-4654-9C27-799FA15E853E}">
  <sheetPr codeName="Sheet8">
    <tabColor rgb="FF253268"/>
  </sheetPr>
  <dimension ref="A1:H8"/>
  <sheetViews>
    <sheetView zoomScaleNormal="100" workbookViewId="0"/>
  </sheetViews>
  <sheetFormatPr defaultRowHeight="14.5"/>
  <cols>
    <col min="1" max="1" width="50.54296875" customWidth="1"/>
    <col min="2" max="8" width="20.54296875" customWidth="1"/>
  </cols>
  <sheetData>
    <row r="1" spans="1:8" ht="30" customHeight="1">
      <c r="A1" s="49" t="s">
        <v>91</v>
      </c>
      <c r="B1" s="12"/>
      <c r="C1" s="12"/>
      <c r="D1" s="12"/>
      <c r="E1" s="12"/>
      <c r="F1" s="12"/>
      <c r="G1" s="12"/>
      <c r="H1" s="12"/>
    </row>
    <row r="2" spans="1:8" ht="20.149999999999999" customHeight="1">
      <c r="A2" s="9" t="s">
        <v>47</v>
      </c>
      <c r="B2" s="12"/>
      <c r="C2" s="12"/>
      <c r="D2" s="12"/>
      <c r="E2" s="12"/>
      <c r="F2" s="12"/>
      <c r="G2" s="12"/>
      <c r="H2" s="12"/>
    </row>
    <row r="3" spans="1:8" ht="50.25" customHeight="1">
      <c r="A3" s="10" t="s">
        <v>63</v>
      </c>
      <c r="B3" s="26" t="s">
        <v>64</v>
      </c>
      <c r="C3" s="18" t="s">
        <v>65</v>
      </c>
      <c r="D3" s="18" t="s">
        <v>66</v>
      </c>
      <c r="E3" s="18" t="s">
        <v>67</v>
      </c>
      <c r="F3" s="18" t="s">
        <v>68</v>
      </c>
      <c r="G3" s="18" t="s">
        <v>69</v>
      </c>
      <c r="H3" s="18" t="s">
        <v>70</v>
      </c>
    </row>
    <row r="4" spans="1:8" ht="20.25" customHeight="1">
      <c r="A4" s="10" t="s">
        <v>90</v>
      </c>
      <c r="B4" s="80">
        <v>99.62</v>
      </c>
      <c r="C4" s="79">
        <v>99.56</v>
      </c>
      <c r="D4" s="79">
        <v>99.64</v>
      </c>
      <c r="E4" s="79">
        <v>99.66</v>
      </c>
      <c r="F4" s="79">
        <v>99.46</v>
      </c>
      <c r="G4" s="79">
        <v>99.66</v>
      </c>
      <c r="H4" s="79">
        <v>99.61</v>
      </c>
    </row>
    <row r="5" spans="1:8" ht="20.25" customHeight="1">
      <c r="A5" s="23" t="s">
        <v>84</v>
      </c>
      <c r="B5" s="80">
        <v>99.59</v>
      </c>
      <c r="C5" s="79">
        <v>99.56</v>
      </c>
      <c r="D5" s="79">
        <v>99.66</v>
      </c>
      <c r="E5" s="79">
        <v>99.51</v>
      </c>
      <c r="F5" s="79">
        <v>99.51</v>
      </c>
      <c r="G5" s="79">
        <v>99.550000000000011</v>
      </c>
      <c r="H5" s="79">
        <v>99.62</v>
      </c>
    </row>
    <row r="6" spans="1:8" ht="20.25" customHeight="1">
      <c r="A6" s="10" t="s">
        <v>85</v>
      </c>
      <c r="B6" s="80">
        <v>99.65</v>
      </c>
      <c r="C6" s="79">
        <v>99.54</v>
      </c>
      <c r="D6" s="79">
        <v>99.77</v>
      </c>
      <c r="E6" s="79">
        <v>99.66</v>
      </c>
      <c r="F6" s="79">
        <v>99.59</v>
      </c>
      <c r="G6" s="79">
        <v>99.65</v>
      </c>
      <c r="H6" s="79">
        <v>99.6</v>
      </c>
    </row>
    <row r="7" spans="1:8" ht="20.25" customHeight="1">
      <c r="A7" s="10" t="s">
        <v>86</v>
      </c>
      <c r="B7" s="80">
        <v>99.65</v>
      </c>
      <c r="C7" s="79">
        <v>99.57</v>
      </c>
      <c r="D7" s="79">
        <v>99.78</v>
      </c>
      <c r="E7" s="79">
        <v>99.64</v>
      </c>
      <c r="F7" s="79">
        <v>99.58</v>
      </c>
      <c r="G7" s="79">
        <v>99.66</v>
      </c>
      <c r="H7" s="79">
        <v>99.6</v>
      </c>
    </row>
    <row r="8" spans="1:8" ht="20.25" customHeight="1">
      <c r="A8" s="10" t="s">
        <v>87</v>
      </c>
      <c r="B8" s="80">
        <v>99.65</v>
      </c>
      <c r="C8" s="79" t="s">
        <v>81</v>
      </c>
      <c r="D8" s="79" t="s">
        <v>81</v>
      </c>
      <c r="E8" s="79" t="s">
        <v>81</v>
      </c>
      <c r="F8" s="79" t="s">
        <v>81</v>
      </c>
      <c r="G8" s="79" t="s">
        <v>81</v>
      </c>
      <c r="H8" s="79" t="s">
        <v>81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6DB2-6B52-47FF-85E2-6A24185FA0D2}">
  <sheetPr codeName="Sheet9">
    <tabColor rgb="FFFFC000"/>
  </sheetPr>
  <dimension ref="A1:J31"/>
  <sheetViews>
    <sheetView workbookViewId="0">
      <selection activeCell="H34" sqref="H34"/>
    </sheetView>
  </sheetViews>
  <sheetFormatPr defaultRowHeight="14.5"/>
  <cols>
    <col min="1" max="1" width="26" customWidth="1"/>
    <col min="3" max="3" width="19" bestFit="1" customWidth="1"/>
    <col min="4" max="4" width="19.1796875" bestFit="1" customWidth="1"/>
    <col min="5" max="5" width="22" customWidth="1"/>
  </cols>
  <sheetData>
    <row r="1" spans="1:10" ht="39">
      <c r="A1" s="50" t="s">
        <v>92</v>
      </c>
      <c r="B1" s="55" t="s">
        <v>93</v>
      </c>
      <c r="C1" s="55" t="s">
        <v>94</v>
      </c>
      <c r="D1" s="56" t="s">
        <v>95</v>
      </c>
      <c r="E1" s="56" t="s">
        <v>96</v>
      </c>
      <c r="F1" s="56" t="s">
        <v>97</v>
      </c>
      <c r="G1" s="56" t="s">
        <v>98</v>
      </c>
      <c r="H1" s="56" t="s">
        <v>99</v>
      </c>
      <c r="I1" s="56" t="s">
        <v>100</v>
      </c>
      <c r="J1" s="57" t="s">
        <v>101</v>
      </c>
    </row>
    <row r="2" spans="1:10" ht="15" customHeight="1">
      <c r="A2" s="58" t="s">
        <v>71</v>
      </c>
      <c r="B2" s="51" t="str">
        <f>IF(ISNUMBER(SEARCH("2015",A2)),"2015-16",IF(ISNUMBER(SEARCH("2016",A2)),"2016-17",IF(ISNUMBER(SEARCH("2017",A2)),"2017-18",IF(ISNUMBER(SEARCH("2018",A2)),"2018-19",IF(ISNUMBER(SEARCH("2019",A2)),"2019-20",IF(ISNUMBER(SEARCH("2020",A2)),"2020-21",IF(ISNUMBER(SEARCH("2021",A2)),"2021-22",IF(ISNUMBER(SEARCH("2022",A2)),"2022-23",IF(ISNUMBER(SEARCH("2023",A2)),"2023-24",IF(ISNUMBER(SEARCH("2024",A2)),"2024-25",IF(ISNUMBER(SEARCH("2025",A2)),"2025-26","")))))))))))</f>
        <v>2015-16</v>
      </c>
      <c r="C2" s="51" t="s">
        <v>102</v>
      </c>
      <c r="D2" s="52">
        <f>VLOOKUP(A2,Table_3a[#All],2,FALSE)</f>
        <v>92.300000000000011</v>
      </c>
      <c r="E2" s="52">
        <f>VLOOKUP(A2,Table_3a[#All],3,FALSE)</f>
        <v>93.179999999999993</v>
      </c>
      <c r="F2" s="52">
        <f>VLOOKUP(A2,Table_3a[#All],4,FALSE)</f>
        <v>95.04</v>
      </c>
      <c r="G2" s="52">
        <f>VLOOKUP(A2,Table_3a[#All],5,FALSE)</f>
        <v>89.56</v>
      </c>
      <c r="H2" s="52">
        <f>VLOOKUP(A2,Table_3a[#All],6,FALSE)</f>
        <v>90.539999999999992</v>
      </c>
      <c r="I2" s="52">
        <f>VLOOKUP(A2,Table_3a[#All],7,FALSE)</f>
        <v>93.67</v>
      </c>
      <c r="J2" s="59">
        <f>VLOOKUP(A2,Table_3a[#All],8,FALSE)</f>
        <v>93.47</v>
      </c>
    </row>
    <row r="3" spans="1:10" ht="15" customHeight="1">
      <c r="A3" s="60" t="s">
        <v>72</v>
      </c>
      <c r="B3" s="53" t="str">
        <f t="shared" ref="B3:B29" si="0">IF(ISNUMBER(SEARCH("2015",A3)),"2015-16",IF(ISNUMBER(SEARCH("2016",A3)),"2016-17",IF(ISNUMBER(SEARCH("2017",A3)),"2017-18",IF(ISNUMBER(SEARCH("2018",A3)),"2018-19",IF(ISNUMBER(SEARCH("2019",A3)),"2019-20",IF(ISNUMBER(SEARCH("2020",A3)),"2020-21",IF(ISNUMBER(SEARCH("2021",A3)),"2021-22",IF(ISNUMBER(SEARCH("2022",A3)),"2022-23",IF(ISNUMBER(SEARCH("2023",A3)),"2023-24",IF(ISNUMBER(SEARCH("2024",A3)),"2024-25",IF(ISNUMBER(SEARCH("2025",A3)),"2025-26","")))))))))))</f>
        <v>2016-17</v>
      </c>
      <c r="C3" s="53" t="s">
        <v>102</v>
      </c>
      <c r="D3" s="54">
        <f>VLOOKUP(A3,Table_3a[#All],2,FALSE)</f>
        <v>94.3</v>
      </c>
      <c r="E3" s="54">
        <f>VLOOKUP(A3,Table_3a[#All],3,FALSE)</f>
        <v>95.199999999999989</v>
      </c>
      <c r="F3" s="54">
        <f>VLOOKUP(A3,Table_3a[#All],4,FALSE)</f>
        <v>97.1</v>
      </c>
      <c r="G3" s="54">
        <f>VLOOKUP(A3,Table_3a[#All],5,FALSE)</f>
        <v>91.5</v>
      </c>
      <c r="H3" s="54">
        <f>VLOOKUP(A3,Table_3a[#All],6,FALSE)</f>
        <v>92.5</v>
      </c>
      <c r="I3" s="54">
        <f>VLOOKUP(A3,Table_3a[#All],7,FALSE)</f>
        <v>95.7</v>
      </c>
      <c r="J3" s="61">
        <f>VLOOKUP(A3,Table_3a[#All],8,FALSE)</f>
        <v>95.5</v>
      </c>
    </row>
    <row r="4" spans="1:10" ht="15" customHeight="1">
      <c r="A4" s="58" t="s">
        <v>73</v>
      </c>
      <c r="B4" s="51" t="str">
        <f t="shared" si="0"/>
        <v>2017-18</v>
      </c>
      <c r="C4" s="51" t="s">
        <v>102</v>
      </c>
      <c r="D4" s="52">
        <f>VLOOKUP(A4,Table_3a[#All],2,FALSE)</f>
        <v>95.199999999999989</v>
      </c>
      <c r="E4" s="52">
        <f>VLOOKUP(A4,Table_3a[#All],3,FALSE)</f>
        <v>95.3</v>
      </c>
      <c r="F4" s="52">
        <f>VLOOKUP(A4,Table_3a[#All],4,FALSE)</f>
        <v>97.399999999999991</v>
      </c>
      <c r="G4" s="52">
        <f>VLOOKUP(A4,Table_3a[#All],5,FALSE)</f>
        <v>93.5</v>
      </c>
      <c r="H4" s="52">
        <f>VLOOKUP(A4,Table_3a[#All],6,FALSE)</f>
        <v>92.600000000000009</v>
      </c>
      <c r="I4" s="52">
        <f>VLOOKUP(A4,Table_3a[#All],7,FALSE)</f>
        <v>96.7</v>
      </c>
      <c r="J4" s="59">
        <f>VLOOKUP(A4,Table_3a[#All],8,FALSE)</f>
        <v>96.7</v>
      </c>
    </row>
    <row r="5" spans="1:10" ht="15" customHeight="1">
      <c r="A5" s="60" t="s">
        <v>74</v>
      </c>
      <c r="B5" s="53" t="str">
        <f t="shared" si="0"/>
        <v>2018-19</v>
      </c>
      <c r="C5" s="53" t="s">
        <v>102</v>
      </c>
      <c r="D5" s="54">
        <f>VLOOKUP(A5,Table_3a[#All],2,FALSE)</f>
        <v>95.5</v>
      </c>
      <c r="E5" s="54">
        <f>VLOOKUP(A5,Table_3a[#All],3,FALSE)</f>
        <v>96.8</v>
      </c>
      <c r="F5" s="54">
        <f>VLOOKUP(A5,Table_3a[#All],4,FALSE)</f>
        <v>97.2</v>
      </c>
      <c r="G5" s="54">
        <f>VLOOKUP(A5,Table_3a[#All],5,FALSE)</f>
        <v>93.5</v>
      </c>
      <c r="H5" s="54">
        <f>VLOOKUP(A5,Table_3a[#All],6,FALSE)</f>
        <v>94</v>
      </c>
      <c r="I5" s="54">
        <f>VLOOKUP(A5,Table_3a[#All],7,FALSE)</f>
        <v>96.6</v>
      </c>
      <c r="J5" s="61">
        <f>VLOOKUP(A5,Table_3a[#All],8,FALSE)</f>
        <v>96.1</v>
      </c>
    </row>
    <row r="6" spans="1:10" ht="15" customHeight="1">
      <c r="A6" s="58" t="s">
        <v>75</v>
      </c>
      <c r="B6" s="51" t="str">
        <f t="shared" si="0"/>
        <v>2019-20</v>
      </c>
      <c r="C6" s="51" t="s">
        <v>102</v>
      </c>
      <c r="D6" s="52">
        <f>VLOOKUP(A6,Table_3a[#All],2,FALSE)</f>
        <v>95.4</v>
      </c>
      <c r="E6" s="52">
        <f>VLOOKUP(A6,Table_3a[#All],3,FALSE)</f>
        <v>96.899999999999991</v>
      </c>
      <c r="F6" s="52">
        <f>VLOOKUP(A6,Table_3a[#All],4,FALSE)</f>
        <v>96.7</v>
      </c>
      <c r="G6" s="52">
        <f>VLOOKUP(A6,Table_3a[#All],5,FALSE)</f>
        <v>93.7</v>
      </c>
      <c r="H6" s="52">
        <f>VLOOKUP(A6,Table_3a[#All],6,FALSE)</f>
        <v>94.3</v>
      </c>
      <c r="I6" s="52">
        <f>VLOOKUP(A6,Table_3a[#All],7,FALSE)</f>
        <v>96.5</v>
      </c>
      <c r="J6" s="59">
        <f>VLOOKUP(A6,Table_3a[#All],8,FALSE)</f>
        <v>95.3</v>
      </c>
    </row>
    <row r="7" spans="1:10" ht="15" customHeight="1">
      <c r="A7" s="60" t="s">
        <v>76</v>
      </c>
      <c r="B7" s="53" t="str">
        <f t="shared" si="0"/>
        <v>2020-21</v>
      </c>
      <c r="C7" s="53" t="s">
        <v>102</v>
      </c>
      <c r="D7" s="54">
        <f>VLOOKUP(A7,Table_3a[#All],2,FALSE)</f>
        <v>95.199999999999989</v>
      </c>
      <c r="E7" s="54">
        <f>VLOOKUP(A7,Table_3a[#All],3,FALSE)</f>
        <v>95.6</v>
      </c>
      <c r="F7" s="54">
        <f>VLOOKUP(A7,Table_3a[#All],4,FALSE)</f>
        <v>97.2</v>
      </c>
      <c r="G7" s="54">
        <f>VLOOKUP(A7,Table_3a[#All],5,FALSE)</f>
        <v>94.399999999999991</v>
      </c>
      <c r="H7" s="54">
        <f>VLOOKUP(A7,Table_3a[#All],6,FALSE)</f>
        <v>92.100000000000009</v>
      </c>
      <c r="I7" s="54">
        <f>VLOOKUP(A7,Table_3a[#All],7,FALSE)</f>
        <v>96.6</v>
      </c>
      <c r="J7" s="61">
        <f>VLOOKUP(A7,Table_3a[#All],8,FALSE)</f>
        <v>96</v>
      </c>
    </row>
    <row r="8" spans="1:10" ht="15" customHeight="1">
      <c r="A8" s="58" t="s">
        <v>77</v>
      </c>
      <c r="B8" s="51" t="str">
        <f t="shared" si="0"/>
        <v>2021-22</v>
      </c>
      <c r="C8" s="51" t="s">
        <v>102</v>
      </c>
      <c r="D8" s="52">
        <f>VLOOKUP(A8,Table_3a[#All],2,FALSE)</f>
        <v>95.5</v>
      </c>
      <c r="E8" s="52">
        <f>VLOOKUP(A8,Table_3a[#All],3,FALSE)</f>
        <v>96</v>
      </c>
      <c r="F8" s="52">
        <f>VLOOKUP(A8,Table_3a[#All],4,FALSE)</f>
        <v>96.4</v>
      </c>
      <c r="G8" s="52">
        <f>VLOOKUP(A8,Table_3a[#All],5,FALSE)</f>
        <v>94.3</v>
      </c>
      <c r="H8" s="52">
        <f>VLOOKUP(A8,Table_3a[#All],6,FALSE)</f>
        <v>93.2</v>
      </c>
      <c r="I8" s="52">
        <f>VLOOKUP(A8,Table_3a[#All],7,FALSE)</f>
        <v>96.4</v>
      </c>
      <c r="J8" s="59">
        <f>VLOOKUP(A8,Table_3a[#All],8,FALSE)</f>
        <v>97.3</v>
      </c>
    </row>
    <row r="9" spans="1:10" ht="15" customHeight="1">
      <c r="A9" s="58" t="s">
        <v>78</v>
      </c>
      <c r="B9" s="51" t="str">
        <f t="shared" ref="B9:B15" si="1">IF(ISNUMBER(SEARCH("2015",A9)),"2015-16",IF(ISNUMBER(SEARCH("2016",A9)),"2016-17",IF(ISNUMBER(SEARCH("2017",A9)),"2017-18",IF(ISNUMBER(SEARCH("2018",A9)),"2018-19",IF(ISNUMBER(SEARCH("2019",A9)),"2019-20",IF(ISNUMBER(SEARCH("2020",A9)),"2020-21",IF(ISNUMBER(SEARCH("2021",A9)),"2021-22",IF(ISNUMBER(SEARCH("2022",A9)),"2022-23",IF(ISNUMBER(SEARCH("2023",A9)),"2023-24",IF(ISNUMBER(SEARCH("2024",A9)),"2024-25",IF(ISNUMBER(SEARCH("2025",A9)),"2025-26","")))))))))))</f>
        <v>2022-23</v>
      </c>
      <c r="C9" s="51" t="s">
        <v>102</v>
      </c>
      <c r="D9" s="52">
        <f>VLOOKUP(A9,Table_3a[#All],2,FALSE)</f>
        <v>96.2</v>
      </c>
      <c r="E9" s="52">
        <f>VLOOKUP(A9,Table_3a[#All],3,FALSE)</f>
        <v>96.99</v>
      </c>
      <c r="F9" s="52">
        <f>VLOOKUP(A9,Table_3a[#All],4,FALSE)</f>
        <v>96.84</v>
      </c>
      <c r="G9" s="52">
        <f>VLOOKUP(A9,Table_3a[#All],5,FALSE)</f>
        <v>95.61</v>
      </c>
      <c r="H9" s="52">
        <f>VLOOKUP(A9,Table_3a[#All],6,FALSE)</f>
        <v>93.61</v>
      </c>
      <c r="I9" s="52">
        <f>VLOOKUP(A9,Table_3a[#All],7,FALSE)</f>
        <v>96.79</v>
      </c>
      <c r="J9" s="59">
        <f>VLOOKUP(A9,Table_3a[#All],8,FALSE)</f>
        <v>97.64</v>
      </c>
    </row>
    <row r="10" spans="1:10" ht="15" customHeight="1">
      <c r="A10" s="58" t="s">
        <v>79</v>
      </c>
      <c r="B10" s="51" t="str">
        <f>IF(ISNUMBER(SEARCH("2015",A10)),"2015-16",IF(ISNUMBER(SEARCH("2016",A10)),"2016-17",IF(ISNUMBER(SEARCH("2017",A10)),"2017-18",IF(ISNUMBER(SEARCH("2018",A10)),"2018-19",IF(ISNUMBER(SEARCH("2019",A10)),"2019-20",IF(ISNUMBER(SEARCH("2020",A10)),"2020-21",IF(ISNUMBER(SEARCH("2021",A10)),"2021-22",IF(ISNUMBER(SEARCH("2022",A10)),"2022-23",IF(ISNUMBER(SEARCH("2023",A10)),"2023-24",IF(ISNUMBER(SEARCH("2024",A10)),"2024-25",IF(ISNUMBER(SEARCH("2025",A10)),"2025-26","")))))))))))</f>
        <v>2023-24</v>
      </c>
      <c r="C10" s="51" t="s">
        <v>102</v>
      </c>
      <c r="D10" s="52">
        <f>VLOOKUP(A10,Table_3a[#All],2,FALSE)</f>
        <v>96.2</v>
      </c>
      <c r="E10" s="52">
        <f>VLOOKUP(A10,Table_3a[#All],3,FALSE)</f>
        <v>97.9</v>
      </c>
      <c r="F10" s="52">
        <f>VLOOKUP(A10,Table_3a[#All],4,FALSE)</f>
        <v>97.4</v>
      </c>
      <c r="G10" s="52">
        <f>VLOOKUP(A10,Table_3a[#All],5,FALSE)</f>
        <v>94.8</v>
      </c>
      <c r="H10" s="52">
        <f>VLOOKUP(A10,Table_3a[#All],6,FALSE)</f>
        <v>92.7</v>
      </c>
      <c r="I10" s="52">
        <f>VLOOKUP(A10,Table_3a[#All],7,FALSE)</f>
        <v>97.3</v>
      </c>
      <c r="J10" s="59">
        <f>VLOOKUP(A10,Table_3a[#All],8,FALSE)</f>
        <v>97.4</v>
      </c>
    </row>
    <row r="11" spans="1:10" ht="15" customHeight="1">
      <c r="A11" s="58" t="s">
        <v>71</v>
      </c>
      <c r="B11" s="51" t="str">
        <f t="shared" si="1"/>
        <v>2015-16</v>
      </c>
      <c r="C11" s="51" t="s">
        <v>103</v>
      </c>
      <c r="D11" s="52">
        <v>79.100000000000009</v>
      </c>
      <c r="E11" s="52"/>
      <c r="F11" s="52"/>
      <c r="G11" s="52"/>
      <c r="H11" s="52"/>
      <c r="I11" s="52"/>
      <c r="J11" s="59"/>
    </row>
    <row r="12" spans="1:10" ht="15" customHeight="1">
      <c r="A12" s="60" t="s">
        <v>72</v>
      </c>
      <c r="B12" s="51" t="str">
        <f t="shared" si="1"/>
        <v>2016-17</v>
      </c>
      <c r="C12" s="51" t="s">
        <v>103</v>
      </c>
      <c r="D12" s="52">
        <v>79.2</v>
      </c>
      <c r="E12" s="52"/>
      <c r="F12" s="52"/>
      <c r="G12" s="52"/>
      <c r="H12" s="52"/>
      <c r="I12" s="52"/>
      <c r="J12" s="59"/>
    </row>
    <row r="13" spans="1:10" ht="15" customHeight="1">
      <c r="A13" s="58" t="s">
        <v>73</v>
      </c>
      <c r="B13" s="51" t="str">
        <f t="shared" si="1"/>
        <v>2017-18</v>
      </c>
      <c r="C13" s="51" t="s">
        <v>103</v>
      </c>
      <c r="D13" s="52">
        <v>79.800000000000011</v>
      </c>
      <c r="E13" s="52"/>
      <c r="F13" s="52"/>
      <c r="G13" s="52"/>
      <c r="H13" s="52"/>
      <c r="I13" s="52"/>
      <c r="J13" s="59"/>
    </row>
    <row r="14" spans="1:10" ht="15" customHeight="1">
      <c r="A14" s="60" t="s">
        <v>74</v>
      </c>
      <c r="B14" s="51" t="str">
        <f t="shared" si="1"/>
        <v>2018-19</v>
      </c>
      <c r="C14" s="51" t="s">
        <v>103</v>
      </c>
      <c r="D14" s="52">
        <v>79.800000000000011</v>
      </c>
      <c r="E14" s="52"/>
      <c r="F14" s="52"/>
      <c r="G14" s="52"/>
      <c r="H14" s="52"/>
      <c r="I14" s="52"/>
      <c r="J14" s="59"/>
    </row>
    <row r="15" spans="1:10" ht="15" customHeight="1">
      <c r="A15" s="58" t="s">
        <v>75</v>
      </c>
      <c r="B15" s="51" t="str">
        <f t="shared" si="1"/>
        <v>2019-20</v>
      </c>
      <c r="C15" s="51" t="s">
        <v>103</v>
      </c>
      <c r="D15" s="52">
        <v>80.489999999999995</v>
      </c>
      <c r="E15" s="52"/>
      <c r="F15" s="52"/>
      <c r="G15" s="52"/>
      <c r="H15" s="52"/>
      <c r="I15" s="52"/>
      <c r="J15" s="59"/>
    </row>
    <row r="16" spans="1:10" ht="15" customHeight="1">
      <c r="A16" s="62" t="s">
        <v>83</v>
      </c>
      <c r="B16" s="53" t="str">
        <f t="shared" si="0"/>
        <v>2020-21</v>
      </c>
      <c r="C16" s="53" t="s">
        <v>103</v>
      </c>
      <c r="D16" s="54">
        <f>VLOOKUP($A16,Table_3b[#All],COLUMN(E$1)-3,FALSE)</f>
        <v>81.2</v>
      </c>
      <c r="E16" s="54">
        <f>VLOOKUP($A16,Table_3b[#All],COLUMN(F$1)-3,FALSE)</f>
        <v>83.63</v>
      </c>
      <c r="F16" s="54">
        <f>VLOOKUP($A16,Table_3b[#All],COLUMN(G$1)-3,FALSE)</f>
        <v>84.24</v>
      </c>
      <c r="G16" s="54">
        <f>VLOOKUP($A16,Table_3b[#All],COLUMN(H$1)-3,FALSE)</f>
        <v>84.38</v>
      </c>
      <c r="H16" s="54">
        <f>VLOOKUP($A16,Table_3b[#All],COLUMN(I$1)-3,FALSE)</f>
        <v>84.82</v>
      </c>
      <c r="I16" s="54">
        <f>VLOOKUP($A16,Table_3b[#All],COLUMN(J$1)-3,FALSE)</f>
        <v>88.4</v>
      </c>
      <c r="J16" s="61">
        <f>VLOOKUP($A16,Table_3b[#All],COLUMN(K$1)-3,FALSE)</f>
        <v>85.48</v>
      </c>
    </row>
    <row r="17" spans="1:10" ht="15" customHeight="1">
      <c r="A17" s="63" t="s">
        <v>84</v>
      </c>
      <c r="B17" s="51" t="str">
        <f t="shared" si="0"/>
        <v>2021-22</v>
      </c>
      <c r="C17" s="51" t="s">
        <v>103</v>
      </c>
      <c r="D17" s="54">
        <f>VLOOKUP($A17,Table_3b[#All],COLUMN(E$1)-3,FALSE)</f>
        <v>81</v>
      </c>
      <c r="E17" s="54">
        <f>VLOOKUP($A17,Table_3b[#All],COLUMN(F$1)-3,FALSE)</f>
        <v>83.63</v>
      </c>
      <c r="F17" s="54">
        <f>VLOOKUP($A17,Table_3b[#All],COLUMN(G$1)-3,FALSE)</f>
        <v>84.24</v>
      </c>
      <c r="G17" s="54">
        <f>VLOOKUP($A17,Table_3b[#All],COLUMN(H$1)-3,FALSE)</f>
        <v>86.42</v>
      </c>
      <c r="H17" s="54">
        <f>VLOOKUP($A17,Table_3b[#All],COLUMN(I$1)-3,FALSE)</f>
        <v>84.82</v>
      </c>
      <c r="I17" s="54">
        <f>VLOOKUP($A17,Table_3b[#All],COLUMN(J$1)-3,FALSE)</f>
        <v>88.4</v>
      </c>
      <c r="J17" s="61">
        <f>VLOOKUP($A17,Table_3b[#All],COLUMN(K$1)-3,FALSE)</f>
        <v>85.48</v>
      </c>
    </row>
    <row r="18" spans="1:10" ht="15" customHeight="1">
      <c r="A18" s="58" t="s">
        <v>85</v>
      </c>
      <c r="B18" s="51" t="str">
        <f>IF(ISNUMBER(SEARCH("2015",A18)),"2015-16",IF(ISNUMBER(SEARCH("2016",A18)),"2016-17",IF(ISNUMBER(SEARCH("2017",A18)),"2017-18",IF(ISNUMBER(SEARCH("2018",A18)),"2018-19",IF(ISNUMBER(SEARCH("2019",A18)),"2019-20",IF(ISNUMBER(SEARCH("2020",A18)),"2020-21",IF(ISNUMBER(SEARCH("2021",A18)),"2021-22",IF(ISNUMBER(SEARCH("2022",A18)),"2022-23",IF(ISNUMBER(SEARCH("2023",A18)),"2023-24",IF(ISNUMBER(SEARCH("2024",A18)),"2024-25",IF(ISNUMBER(SEARCH("2025",A18)),"2025-26","")))))))))))</f>
        <v>2022-23</v>
      </c>
      <c r="C18" s="51" t="s">
        <v>103</v>
      </c>
      <c r="D18" s="54">
        <f>VLOOKUP($A18,Table_3b[#All],COLUMN(E$1)-3,FALSE)</f>
        <v>81.400000000000006</v>
      </c>
      <c r="E18" s="54">
        <f>VLOOKUP($A18,Table_3b[#All],COLUMN(F$1)-3,FALSE)</f>
        <v>84.6</v>
      </c>
      <c r="F18" s="54">
        <f>VLOOKUP($A18,Table_3b[#All],COLUMN(G$1)-3,FALSE)</f>
        <v>83.5</v>
      </c>
      <c r="G18" s="54">
        <f>VLOOKUP($A18,Table_3b[#All],COLUMN(H$1)-3,FALSE)</f>
        <v>85.7</v>
      </c>
      <c r="H18" s="54">
        <f>VLOOKUP($A18,Table_3b[#All],COLUMN(I$1)-3,FALSE)</f>
        <v>83.6</v>
      </c>
      <c r="I18" s="54">
        <f>VLOOKUP($A18,Table_3b[#All],COLUMN(J$1)-3,FALSE)</f>
        <v>88.1</v>
      </c>
      <c r="J18" s="61">
        <f>VLOOKUP($A18,Table_3b[#All],COLUMN(K$1)-3,FALSE)</f>
        <v>84.7</v>
      </c>
    </row>
    <row r="19" spans="1:10" ht="15" customHeight="1">
      <c r="A19" s="58" t="s">
        <v>86</v>
      </c>
      <c r="B19" s="51" t="str">
        <f>IF(ISNUMBER(SEARCH("2015",A19)),"2015-16",IF(ISNUMBER(SEARCH("2016",A19)),"2016-17",IF(ISNUMBER(SEARCH("2017",A19)),"2017-18",IF(ISNUMBER(SEARCH("2018",A19)),"2018-19",IF(ISNUMBER(SEARCH("2019",A19)),"2019-20",IF(ISNUMBER(SEARCH("2020",A19)),"2020-21",IF(ISNUMBER(SEARCH("2021",A19)),"2021-22",IF(ISNUMBER(SEARCH("2022",A19)),"2022-23",IF(ISNUMBER(SEARCH("2023",A19)),"2023-24",IF(ISNUMBER(SEARCH("2024",A19)),"2024-25",IF(ISNUMBER(SEARCH("2025",A19)),"2025-26","")))))))))))</f>
        <v>2023-24</v>
      </c>
      <c r="C19" s="51" t="s">
        <v>103</v>
      </c>
      <c r="D19" s="54">
        <f>VLOOKUP($A19,Table_3b[#All],COLUMN(E$1)-3,FALSE)</f>
        <v>82.2</v>
      </c>
      <c r="E19" s="54">
        <f>VLOOKUP($A19,Table_3b[#All],COLUMN(F$1)-3,FALSE)</f>
        <v>84.7</v>
      </c>
      <c r="F19" s="54">
        <f>VLOOKUP($A19,Table_3b[#All],COLUMN(G$1)-3,FALSE)</f>
        <v>82.9</v>
      </c>
      <c r="G19" s="54">
        <f>VLOOKUP($A19,Table_3b[#All],COLUMN(H$1)-3,FALSE)</f>
        <v>87.4</v>
      </c>
      <c r="H19" s="54">
        <f>VLOOKUP($A19,Table_3b[#All],COLUMN(I$1)-3,FALSE)</f>
        <v>82.9</v>
      </c>
      <c r="I19" s="54">
        <f>VLOOKUP($A19,Table_3b[#All],COLUMN(J$1)-3,FALSE)</f>
        <v>87.9</v>
      </c>
      <c r="J19" s="61">
        <f>VLOOKUP($A19,Table_3b[#All],COLUMN(K$1)-3,FALSE)</f>
        <v>85.1</v>
      </c>
    </row>
    <row r="20" spans="1:10" ht="15" customHeight="1">
      <c r="A20" s="62" t="str">
        <f>Table_3c!A4</f>
        <v>April 2020 to March 2021</v>
      </c>
      <c r="B20" s="53" t="str">
        <f t="shared" si="0"/>
        <v>2020-21</v>
      </c>
      <c r="C20" s="53" t="s">
        <v>104</v>
      </c>
      <c r="D20" s="85">
        <f>VLOOKUP(A20,Table_3c[],2,FALSE)</f>
        <v>95.1</v>
      </c>
      <c r="E20" s="89"/>
      <c r="F20" s="89"/>
      <c r="G20" s="89"/>
      <c r="H20" s="89"/>
      <c r="I20" s="89"/>
      <c r="J20" s="90"/>
    </row>
    <row r="21" spans="1:10" ht="15" customHeight="1">
      <c r="A21" s="63" t="s">
        <v>84</v>
      </c>
      <c r="B21" s="51" t="str">
        <f t="shared" si="0"/>
        <v>2021-22</v>
      </c>
      <c r="C21" s="51" t="s">
        <v>104</v>
      </c>
      <c r="D21" s="87">
        <f>VLOOKUP(A21,Table_3c[],2,FALSE)</f>
        <v>96.8</v>
      </c>
      <c r="E21" s="91"/>
      <c r="F21" s="91"/>
      <c r="G21" s="91"/>
      <c r="H21" s="91"/>
      <c r="I21" s="91"/>
      <c r="J21" s="92"/>
    </row>
    <row r="22" spans="1:10" ht="15" customHeight="1">
      <c r="A22" s="58" t="s">
        <v>85</v>
      </c>
      <c r="B22" s="51" t="str">
        <f>IF(ISNUMBER(SEARCH("2015",A22)),"2015-16",IF(ISNUMBER(SEARCH("2016",A22)),"2016-17",IF(ISNUMBER(SEARCH("2017",A22)),"2017-18",IF(ISNUMBER(SEARCH("2018",A22)),"2018-19",IF(ISNUMBER(SEARCH("2019",A22)),"2019-20",IF(ISNUMBER(SEARCH("2020",A22)),"2020-21",IF(ISNUMBER(SEARCH("2021",A22)),"2021-22",IF(ISNUMBER(SEARCH("2022",A22)),"2022-23",IF(ISNUMBER(SEARCH("2023",A22)),"2023-24",IF(ISNUMBER(SEARCH("2024",A22)),"2024-25",IF(ISNUMBER(SEARCH("2025",A22)),"2025-26","")))))))))))</f>
        <v>2022-23</v>
      </c>
      <c r="C22" s="51" t="s">
        <v>104</v>
      </c>
      <c r="D22" s="87">
        <f>VLOOKUP(A22,Table_3c[],2,FALSE)</f>
        <v>95.3</v>
      </c>
      <c r="E22" s="91"/>
      <c r="F22" s="91"/>
      <c r="G22" s="91"/>
      <c r="H22" s="91"/>
      <c r="I22" s="91"/>
      <c r="J22" s="92"/>
    </row>
    <row r="23" spans="1:10" ht="15" customHeight="1">
      <c r="A23" s="58" t="s">
        <v>86</v>
      </c>
      <c r="B23" s="51" t="str">
        <f>IF(ISNUMBER(SEARCH("2015",A23)),"2015-16",IF(ISNUMBER(SEARCH("2016",A23)),"2016-17",IF(ISNUMBER(SEARCH("2017",A23)),"2017-18",IF(ISNUMBER(SEARCH("2018",A23)),"2018-19",IF(ISNUMBER(SEARCH("2019",A23)),"2019-20",IF(ISNUMBER(SEARCH("2020",A23)),"2020-21",IF(ISNUMBER(SEARCH("2021",A23)),"2021-22",IF(ISNUMBER(SEARCH("2022",A23)),"2022-23",IF(ISNUMBER(SEARCH("2023",A23)),"2023-24",IF(ISNUMBER(SEARCH("2024",A23)),"2024-25",IF(ISNUMBER(SEARCH("2025",A23)),"2025-26","")))))))))))</f>
        <v>2023-24</v>
      </c>
      <c r="C23" s="51" t="s">
        <v>104</v>
      </c>
      <c r="D23" s="87">
        <f>VLOOKUP(A23,Table_3c[],2,FALSE)</f>
        <v>91.4</v>
      </c>
      <c r="E23" s="91"/>
      <c r="F23" s="91"/>
      <c r="G23" s="91"/>
      <c r="H23" s="91"/>
      <c r="I23" s="91"/>
      <c r="J23" s="92"/>
    </row>
    <row r="24" spans="1:10" ht="15" customHeight="1">
      <c r="A24" s="62" t="s">
        <v>90</v>
      </c>
      <c r="B24" s="53" t="str">
        <f t="shared" si="0"/>
        <v>2020-21</v>
      </c>
      <c r="C24" s="53" t="s">
        <v>105</v>
      </c>
      <c r="D24" s="93">
        <f>VLOOKUP(A24,Table_3d[],2,FALSE)</f>
        <v>72</v>
      </c>
      <c r="E24" s="93">
        <f>VLOOKUP(A24,Table_3d[],3,FALSE)</f>
        <v>70</v>
      </c>
      <c r="F24" s="93">
        <f>VLOOKUP(A24,Table_3d[],4,FALSE)</f>
        <v>69</v>
      </c>
      <c r="G24" s="93">
        <f>VLOOKUP(A24,Table_3d[],5,FALSE)</f>
        <v>66</v>
      </c>
      <c r="H24" s="93">
        <f>VLOOKUP(A24,Table_3d[],6,FALSE)</f>
        <v>85</v>
      </c>
      <c r="I24" s="93">
        <f>VLOOKUP(A24,Table_3d[],7,FALSE)</f>
        <v>68</v>
      </c>
      <c r="J24" s="94">
        <f>VLOOKUP(A24,Table_3d[],8,FALSE)</f>
        <v>79</v>
      </c>
    </row>
    <row r="25" spans="1:10" ht="15" customHeight="1">
      <c r="A25" s="63" t="s">
        <v>84</v>
      </c>
      <c r="B25" s="51" t="str">
        <f t="shared" si="0"/>
        <v>2021-22</v>
      </c>
      <c r="C25" s="51" t="s">
        <v>105</v>
      </c>
      <c r="D25" s="95">
        <f>VLOOKUP(A25,Table_3d[],2,FALSE)</f>
        <v>71</v>
      </c>
      <c r="E25" s="95">
        <f>VLOOKUP(A25,Table_3d[],3,FALSE)</f>
        <v>69</v>
      </c>
      <c r="F25" s="95">
        <f>VLOOKUP(A25,Table_3d[],4,FALSE)</f>
        <v>68</v>
      </c>
      <c r="G25" s="95">
        <f>VLOOKUP(A25,Table_3d[],5,FALSE)</f>
        <v>67</v>
      </c>
      <c r="H25" s="95">
        <f>VLOOKUP(A25,Table_3d[],6,FALSE)</f>
        <v>82</v>
      </c>
      <c r="I25" s="95">
        <f>VLOOKUP(A25,Table_3d[],7,FALSE)</f>
        <v>68</v>
      </c>
      <c r="J25" s="96">
        <f>VLOOKUP(A25,Table_3d[],8,FALSE)</f>
        <v>77</v>
      </c>
    </row>
    <row r="26" spans="1:10" ht="15" customHeight="1">
      <c r="A26" s="58" t="s">
        <v>85</v>
      </c>
      <c r="B26" s="51" t="str">
        <f>IF(ISNUMBER(SEARCH("2015",A26)),"2015-16",IF(ISNUMBER(SEARCH("2016",A26)),"2016-17",IF(ISNUMBER(SEARCH("2017",A26)),"2017-18",IF(ISNUMBER(SEARCH("2018",A26)),"2018-19",IF(ISNUMBER(SEARCH("2019",A26)),"2019-20",IF(ISNUMBER(SEARCH("2020",A26)),"2020-21",IF(ISNUMBER(SEARCH("2021",A26)),"2021-22",IF(ISNUMBER(SEARCH("2022",A26)),"2022-23",IF(ISNUMBER(SEARCH("2023",A26)),"2023-24",IF(ISNUMBER(SEARCH("2024",A26)),"2024-25",IF(ISNUMBER(SEARCH("2025",A26)),"2025-26","")))))))))))</f>
        <v>2022-23</v>
      </c>
      <c r="C26" s="51" t="s">
        <v>105</v>
      </c>
      <c r="D26" s="95">
        <f>VLOOKUP(A26,Table_3d[],2,FALSE)</f>
        <v>69</v>
      </c>
      <c r="E26" s="95">
        <f>VLOOKUP(A26,Table_3d[],3,FALSE)</f>
        <v>69</v>
      </c>
      <c r="F26" s="95">
        <f>VLOOKUP(A26,Table_3d[],4,FALSE)</f>
        <v>70</v>
      </c>
      <c r="G26" s="95">
        <f>VLOOKUP(A26,Table_3d[],5,FALSE)</f>
        <v>66</v>
      </c>
      <c r="H26" s="95">
        <f>VLOOKUP(A26,Table_3d[],6,FALSE)</f>
        <v>77</v>
      </c>
      <c r="I26" s="95">
        <f>VLOOKUP(A26,Table_3d[],7,FALSE)</f>
        <v>64</v>
      </c>
      <c r="J26" s="96">
        <f>VLOOKUP(A26,Table_3d[],8,FALSE)</f>
        <v>64</v>
      </c>
    </row>
    <row r="27" spans="1:10" ht="15" customHeight="1">
      <c r="A27" s="58" t="s">
        <v>86</v>
      </c>
      <c r="B27" s="51" t="str">
        <f>IF(ISNUMBER(SEARCH("2015",A27)),"2015-16",IF(ISNUMBER(SEARCH("2016",A27)),"2016-17",IF(ISNUMBER(SEARCH("2017",A27)),"2017-18",IF(ISNUMBER(SEARCH("2018",A27)),"2018-19",IF(ISNUMBER(SEARCH("2019",A27)),"2019-20",IF(ISNUMBER(SEARCH("2020",A27)),"2020-21",IF(ISNUMBER(SEARCH("2021",A27)),"2021-22",IF(ISNUMBER(SEARCH("2022",A27)),"2022-23",IF(ISNUMBER(SEARCH("2023",A27)),"2023-24",IF(ISNUMBER(SEARCH("2024",A27)),"2024-25",IF(ISNUMBER(SEARCH("2025",A27)),"2025-26","")))))))))))</f>
        <v>2023-24</v>
      </c>
      <c r="C27" s="51" t="s">
        <v>105</v>
      </c>
      <c r="D27" s="95">
        <f>VLOOKUP(A27,Table_3d[],2,FALSE)</f>
        <v>64</v>
      </c>
      <c r="E27" s="95">
        <f>VLOOKUP(A27,Table_3d[],3,FALSE)</f>
        <v>65</v>
      </c>
      <c r="F27" s="95">
        <f>VLOOKUP(A27,Table_3d[],4,FALSE)</f>
        <v>68</v>
      </c>
      <c r="G27" s="95">
        <f>VLOOKUP(A27,Table_3d[],5,FALSE)</f>
        <v>63</v>
      </c>
      <c r="H27" s="95">
        <f>VLOOKUP(A27,Table_3d[],6,FALSE)</f>
        <v>73</v>
      </c>
      <c r="I27" s="95">
        <f>VLOOKUP(A27,Table_3d[],7,FALSE)</f>
        <v>60</v>
      </c>
      <c r="J27" s="96">
        <f>VLOOKUP(A27,Table_3d[],8,FALSE)</f>
        <v>59</v>
      </c>
    </row>
    <row r="28" spans="1:10" ht="15" customHeight="1">
      <c r="A28" s="62" t="s">
        <v>90</v>
      </c>
      <c r="B28" s="53" t="str">
        <f t="shared" si="0"/>
        <v>2020-21</v>
      </c>
      <c r="C28" s="53" t="s">
        <v>106</v>
      </c>
      <c r="D28" s="85">
        <v>99.62</v>
      </c>
      <c r="E28" s="85">
        <v>99.56</v>
      </c>
      <c r="F28" s="85">
        <v>99.64</v>
      </c>
      <c r="G28" s="85">
        <v>99.66</v>
      </c>
      <c r="H28" s="85">
        <v>99.46</v>
      </c>
      <c r="I28" s="85">
        <v>99.66</v>
      </c>
      <c r="J28" s="86">
        <v>99.61</v>
      </c>
    </row>
    <row r="29" spans="1:10" ht="15" customHeight="1">
      <c r="A29" s="63" t="s">
        <v>84</v>
      </c>
      <c r="B29" s="51" t="str">
        <f t="shared" si="0"/>
        <v>2021-22</v>
      </c>
      <c r="C29" s="51" t="s">
        <v>106</v>
      </c>
      <c r="D29" s="87">
        <v>99.59</v>
      </c>
      <c r="E29" s="87">
        <v>99.56</v>
      </c>
      <c r="F29" s="87">
        <v>99.66</v>
      </c>
      <c r="G29" s="87">
        <v>99.51</v>
      </c>
      <c r="H29" s="87">
        <v>99.51</v>
      </c>
      <c r="I29" s="87">
        <v>99.550000000000011</v>
      </c>
      <c r="J29" s="88">
        <v>99.62</v>
      </c>
    </row>
    <row r="30" spans="1:10" ht="15" customHeight="1" thickBot="1">
      <c r="A30" s="78" t="s">
        <v>85</v>
      </c>
      <c r="B30" s="51" t="str">
        <f>IF(ISNUMBER(SEARCH("2015",A30)),"2015-16",IF(ISNUMBER(SEARCH("2016",A30)),"2016-17",IF(ISNUMBER(SEARCH("2017",A30)),"2017-18",IF(ISNUMBER(SEARCH("2018",A30)),"2018-19",IF(ISNUMBER(SEARCH("2019",A30)),"2019-20",IF(ISNUMBER(SEARCH("2020",A30)),"2020-21",IF(ISNUMBER(SEARCH("2021",A30)),"2021-22",IF(ISNUMBER(SEARCH("2022",A30)),"2022-23",IF(ISNUMBER(SEARCH("2023",A30)),"2023-24",IF(ISNUMBER(SEARCH("2024",A30)),"2024-25",IF(ISNUMBER(SEARCH("2025",A30)),"2025-26","")))))))))))</f>
        <v>2022-23</v>
      </c>
      <c r="C30" s="51" t="s">
        <v>106</v>
      </c>
      <c r="D30" s="87">
        <v>99.59</v>
      </c>
      <c r="E30" s="87">
        <v>99.56</v>
      </c>
      <c r="F30" s="87">
        <v>99.66</v>
      </c>
      <c r="G30" s="87">
        <v>99.51</v>
      </c>
      <c r="H30" s="87">
        <v>99.51</v>
      </c>
      <c r="I30" s="87">
        <v>99.550000000000011</v>
      </c>
      <c r="J30" s="88">
        <v>99.62</v>
      </c>
    </row>
    <row r="31" spans="1:10" ht="15" customHeight="1" thickBot="1">
      <c r="A31" s="78" t="s">
        <v>86</v>
      </c>
      <c r="B31" s="51" t="str">
        <f>IF(ISNUMBER(SEARCH("2015",A31)),"2015-16",IF(ISNUMBER(SEARCH("2016",A31)),"2016-17",IF(ISNUMBER(SEARCH("2017",A31)),"2017-18",IF(ISNUMBER(SEARCH("2018",A31)),"2018-19",IF(ISNUMBER(SEARCH("2019",A31)),"2019-20",IF(ISNUMBER(SEARCH("2020",A31)),"2020-21",IF(ISNUMBER(SEARCH("2021",A31)),"2021-22",IF(ISNUMBER(SEARCH("2022",A31)),"2022-23",IF(ISNUMBER(SEARCH("2023",A31)),"2023-24",IF(ISNUMBER(SEARCH("2024",A31)),"2024-25",IF(ISNUMBER(SEARCH("2025",A31)),"2025-26","")))))))))))</f>
        <v>2023-24</v>
      </c>
      <c r="C31" s="51" t="s">
        <v>106</v>
      </c>
      <c r="D31" s="87">
        <v>99.65</v>
      </c>
      <c r="E31" s="87">
        <v>99.54</v>
      </c>
      <c r="F31" s="87">
        <v>99.77</v>
      </c>
      <c r="G31" s="87">
        <v>99.66</v>
      </c>
      <c r="H31" s="87">
        <v>99.59</v>
      </c>
      <c r="I31" s="87">
        <v>99.65</v>
      </c>
      <c r="J31" s="88">
        <v>99.6</v>
      </c>
    </row>
  </sheetData>
  <phoneticPr fontId="165" type="noConversion"/>
  <pageMargins left="0.7" right="0.7" top="0.75" bottom="0.75" header="0.3" footer="0.3"/>
  <pageSetup paperSize="9"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96AE8-78E8-4884-BC16-AC675BE1EDD0}">
  <sheetPr codeName="Sheet10">
    <tabColor rgb="FFFFC000"/>
  </sheetPr>
  <dimension ref="A4:T70"/>
  <sheetViews>
    <sheetView topLeftCell="A39" workbookViewId="0">
      <selection activeCell="B45" sqref="B45"/>
    </sheetView>
  </sheetViews>
  <sheetFormatPr defaultRowHeight="14.5"/>
  <cols>
    <col min="1" max="1" width="8.81640625" bestFit="1" customWidth="1"/>
    <col min="2" max="2" width="17.26953125" bestFit="1" customWidth="1"/>
    <col min="3" max="3" width="11.1796875" bestFit="1" customWidth="1"/>
    <col min="4" max="4" width="8.81640625" bestFit="1" customWidth="1"/>
    <col min="5" max="5" width="22.453125" bestFit="1" customWidth="1"/>
    <col min="6" max="6" width="10.1796875" bestFit="1" customWidth="1"/>
    <col min="7" max="7" width="8.81640625" bestFit="1" customWidth="1"/>
    <col min="8" max="8" width="11.1796875" bestFit="1" customWidth="1"/>
    <col min="9" max="9" width="10" bestFit="1" customWidth="1"/>
    <col min="10" max="10" width="10.453125" bestFit="1" customWidth="1"/>
    <col min="11" max="11" width="9.26953125" bestFit="1" customWidth="1"/>
    <col min="13" max="13" width="8.81640625" bestFit="1" customWidth="1"/>
    <col min="14" max="14" width="4.81640625" bestFit="1" customWidth="1"/>
    <col min="16" max="16" width="8.81640625" bestFit="1" customWidth="1"/>
    <col min="17" max="17" width="10.1796875" bestFit="1" customWidth="1"/>
    <col min="18" max="18" width="9.54296875" customWidth="1"/>
    <col min="19" max="19" width="8.81640625" bestFit="1" customWidth="1"/>
    <col min="20" max="20" width="11.1796875" bestFit="1" customWidth="1"/>
    <col min="21" max="21" width="19.453125" bestFit="1" customWidth="1"/>
  </cols>
  <sheetData>
    <row r="4" spans="1:20" ht="31.5" customHeight="1">
      <c r="A4" s="46" t="s">
        <v>107</v>
      </c>
      <c r="B4" s="45"/>
    </row>
    <row r="5" spans="1:20" ht="15.5">
      <c r="A5" s="39" t="s">
        <v>92</v>
      </c>
      <c r="B5" t="s">
        <v>108</v>
      </c>
      <c r="D5" s="39" t="s">
        <v>92</v>
      </c>
      <c r="E5" t="s">
        <v>109</v>
      </c>
      <c r="G5" s="39" t="s">
        <v>92</v>
      </c>
      <c r="H5" t="s">
        <v>110</v>
      </c>
      <c r="J5" s="102" t="s">
        <v>92</v>
      </c>
      <c r="K5" t="s">
        <v>111</v>
      </c>
      <c r="M5" s="39" t="s">
        <v>92</v>
      </c>
      <c r="N5" t="s">
        <v>112</v>
      </c>
      <c r="P5" s="39" t="s">
        <v>92</v>
      </c>
      <c r="Q5" t="s">
        <v>113</v>
      </c>
      <c r="S5" s="39" t="s">
        <v>92</v>
      </c>
      <c r="T5" t="s">
        <v>114</v>
      </c>
    </row>
    <row r="6" spans="1:20">
      <c r="A6" s="40" t="s">
        <v>115</v>
      </c>
      <c r="B6" s="38">
        <v>92.300000000000011</v>
      </c>
      <c r="D6" s="40" t="s">
        <v>115</v>
      </c>
      <c r="E6" s="38">
        <v>93.179999999999993</v>
      </c>
      <c r="G6" s="40" t="s">
        <v>115</v>
      </c>
      <c r="H6" s="38">
        <v>95.04</v>
      </c>
      <c r="J6" s="40" t="s">
        <v>115</v>
      </c>
      <c r="K6" s="38">
        <v>89.56</v>
      </c>
      <c r="M6" s="40" t="s">
        <v>115</v>
      </c>
      <c r="N6" s="38">
        <v>90.539999999999992</v>
      </c>
      <c r="P6" s="40" t="s">
        <v>115</v>
      </c>
      <c r="Q6" s="38">
        <v>93.67</v>
      </c>
      <c r="S6" s="40" t="s">
        <v>115</v>
      </c>
      <c r="T6" s="38">
        <v>93.47</v>
      </c>
    </row>
    <row r="7" spans="1:20">
      <c r="A7" s="40" t="s">
        <v>116</v>
      </c>
      <c r="B7" s="38">
        <v>94.3</v>
      </c>
      <c r="D7" s="40" t="s">
        <v>116</v>
      </c>
      <c r="E7" s="38">
        <v>95.199999999999989</v>
      </c>
      <c r="G7" s="40" t="s">
        <v>116</v>
      </c>
      <c r="H7" s="38">
        <v>97.1</v>
      </c>
      <c r="J7" s="40" t="s">
        <v>116</v>
      </c>
      <c r="K7" s="38">
        <v>91.5</v>
      </c>
      <c r="M7" s="40" t="s">
        <v>116</v>
      </c>
      <c r="N7" s="38">
        <v>92.5</v>
      </c>
      <c r="P7" s="40" t="s">
        <v>116</v>
      </c>
      <c r="Q7" s="38">
        <v>95.7</v>
      </c>
      <c r="S7" s="40" t="s">
        <v>116</v>
      </c>
      <c r="T7" s="38">
        <v>95.5</v>
      </c>
    </row>
    <row r="8" spans="1:20">
      <c r="A8" s="40" t="s">
        <v>117</v>
      </c>
      <c r="B8" s="38">
        <v>95.199999999999989</v>
      </c>
      <c r="D8" s="40" t="s">
        <v>117</v>
      </c>
      <c r="E8" s="38">
        <v>95.3</v>
      </c>
      <c r="G8" s="40" t="s">
        <v>117</v>
      </c>
      <c r="H8" s="38">
        <v>97.399999999999991</v>
      </c>
      <c r="J8" s="40" t="s">
        <v>117</v>
      </c>
      <c r="K8" s="38">
        <v>93.5</v>
      </c>
      <c r="M8" s="40" t="s">
        <v>117</v>
      </c>
      <c r="N8" s="38">
        <v>92.600000000000009</v>
      </c>
      <c r="P8" s="40" t="s">
        <v>117</v>
      </c>
      <c r="Q8" s="38">
        <v>96.7</v>
      </c>
      <c r="S8" s="40" t="s">
        <v>117</v>
      </c>
      <c r="T8" s="38">
        <v>96.7</v>
      </c>
    </row>
    <row r="9" spans="1:20">
      <c r="A9" s="40" t="s">
        <v>118</v>
      </c>
      <c r="B9" s="38">
        <v>95.5</v>
      </c>
      <c r="D9" s="40" t="s">
        <v>118</v>
      </c>
      <c r="E9" s="38">
        <v>96.8</v>
      </c>
      <c r="G9" s="40" t="s">
        <v>118</v>
      </c>
      <c r="H9" s="38">
        <v>97.2</v>
      </c>
      <c r="J9" s="40" t="s">
        <v>118</v>
      </c>
      <c r="K9" s="38">
        <v>93.5</v>
      </c>
      <c r="M9" s="40" t="s">
        <v>118</v>
      </c>
      <c r="N9" s="38">
        <v>94</v>
      </c>
      <c r="P9" s="40" t="s">
        <v>118</v>
      </c>
      <c r="Q9" s="38">
        <v>96.6</v>
      </c>
      <c r="S9" s="40" t="s">
        <v>118</v>
      </c>
      <c r="T9" s="38">
        <v>96.1</v>
      </c>
    </row>
    <row r="10" spans="1:20">
      <c r="A10" s="40" t="s">
        <v>119</v>
      </c>
      <c r="B10" s="38">
        <v>95.4</v>
      </c>
      <c r="D10" s="40" t="s">
        <v>119</v>
      </c>
      <c r="E10" s="38">
        <v>96.899999999999991</v>
      </c>
      <c r="G10" s="40" t="s">
        <v>119</v>
      </c>
      <c r="H10" s="38">
        <v>96.7</v>
      </c>
      <c r="J10" s="40" t="s">
        <v>119</v>
      </c>
      <c r="K10" s="38">
        <v>93.7</v>
      </c>
      <c r="M10" s="40" t="s">
        <v>119</v>
      </c>
      <c r="N10" s="38">
        <v>94.3</v>
      </c>
      <c r="P10" s="40" t="s">
        <v>119</v>
      </c>
      <c r="Q10" s="38">
        <v>96.5</v>
      </c>
      <c r="S10" s="40" t="s">
        <v>119</v>
      </c>
      <c r="T10" s="38">
        <v>95.3</v>
      </c>
    </row>
    <row r="11" spans="1:20">
      <c r="A11" s="40" t="s">
        <v>120</v>
      </c>
      <c r="B11" s="38">
        <v>95.199999999999989</v>
      </c>
      <c r="D11" s="40" t="s">
        <v>120</v>
      </c>
      <c r="E11" s="38">
        <v>95.6</v>
      </c>
      <c r="G11" s="40" t="s">
        <v>120</v>
      </c>
      <c r="H11" s="38">
        <v>97.2</v>
      </c>
      <c r="J11" s="40" t="s">
        <v>120</v>
      </c>
      <c r="K11" s="38">
        <v>94.399999999999991</v>
      </c>
      <c r="M11" s="40" t="s">
        <v>120</v>
      </c>
      <c r="N11" s="38">
        <v>92.100000000000009</v>
      </c>
      <c r="P11" s="40" t="s">
        <v>120</v>
      </c>
      <c r="Q11" s="38">
        <v>96.6</v>
      </c>
      <c r="S11" s="40" t="s">
        <v>120</v>
      </c>
      <c r="T11" s="38">
        <v>96</v>
      </c>
    </row>
    <row r="12" spans="1:20">
      <c r="A12" s="40" t="s">
        <v>121</v>
      </c>
      <c r="B12" s="38">
        <v>95.5</v>
      </c>
      <c r="D12" s="40" t="s">
        <v>121</v>
      </c>
      <c r="E12" s="38">
        <v>96</v>
      </c>
      <c r="G12" s="40" t="s">
        <v>121</v>
      </c>
      <c r="H12" s="38">
        <v>96.4</v>
      </c>
      <c r="J12" s="40" t="s">
        <v>121</v>
      </c>
      <c r="K12" s="38">
        <v>94.3</v>
      </c>
      <c r="M12" s="40" t="s">
        <v>121</v>
      </c>
      <c r="N12" s="38">
        <v>93.2</v>
      </c>
      <c r="P12" s="40" t="s">
        <v>121</v>
      </c>
      <c r="Q12" s="38">
        <v>96.4</v>
      </c>
      <c r="S12" s="40" t="s">
        <v>121</v>
      </c>
      <c r="T12" s="38">
        <v>97.3</v>
      </c>
    </row>
    <row r="13" spans="1:20">
      <c r="A13" s="40" t="s">
        <v>122</v>
      </c>
      <c r="B13" s="38">
        <v>96.2</v>
      </c>
      <c r="D13" s="40" t="s">
        <v>122</v>
      </c>
      <c r="E13" s="38">
        <v>96.99</v>
      </c>
      <c r="G13" s="40" t="s">
        <v>122</v>
      </c>
      <c r="H13" s="38">
        <v>96.84</v>
      </c>
      <c r="J13" s="40" t="s">
        <v>122</v>
      </c>
      <c r="K13" s="38">
        <v>95.61</v>
      </c>
      <c r="M13" s="40" t="s">
        <v>122</v>
      </c>
      <c r="N13" s="38">
        <v>93.61</v>
      </c>
      <c r="P13" s="40" t="s">
        <v>122</v>
      </c>
      <c r="Q13" s="38">
        <v>96.79</v>
      </c>
      <c r="S13" s="40" t="s">
        <v>122</v>
      </c>
      <c r="T13" s="38">
        <v>97.64</v>
      </c>
    </row>
    <row r="14" spans="1:20">
      <c r="A14" s="40" t="s">
        <v>123</v>
      </c>
      <c r="B14" s="38">
        <v>96.2</v>
      </c>
      <c r="D14" s="40" t="s">
        <v>123</v>
      </c>
      <c r="E14" s="38">
        <v>0</v>
      </c>
      <c r="G14" s="40" t="s">
        <v>123</v>
      </c>
      <c r="H14" s="38">
        <v>0</v>
      </c>
      <c r="J14" s="40" t="s">
        <v>123</v>
      </c>
      <c r="K14" s="38">
        <v>0</v>
      </c>
      <c r="M14" s="40" t="s">
        <v>123</v>
      </c>
      <c r="N14" s="38">
        <v>0</v>
      </c>
      <c r="P14" s="40" t="s">
        <v>123</v>
      </c>
      <c r="Q14" s="38">
        <v>0</v>
      </c>
      <c r="S14" s="40" t="s">
        <v>123</v>
      </c>
      <c r="T14" s="38">
        <v>0</v>
      </c>
    </row>
    <row r="22" spans="1:1">
      <c r="A22" s="48" t="s">
        <v>124</v>
      </c>
    </row>
    <row r="23" spans="1:1">
      <c r="A23" s="47" t="str">
        <f>IF(B40="Pavement condition","Pavement condition (KPI) - The percentage of the pavement asset in good condition.",IF(B40="Structures condition","Structures condition (PI) - Average condition score/critical condition score - % of structures rated 'good' in opinion of inspector.",IF(B40="Technology availability","Technology availability (PI) -  The percentage of time that roadside technology assets are available and functioning.",IF(B40="Drainage resilience","Drainage resilience (PI) -  The percentage length of carriageway that does not have an observed significant susceptibility to flooding.",IF(B40="Geotechnical condition","Geotechnical condition (PI) -  The percentage length of the National Highways' geotechnical asset that is in good condition based on the ability of the asset to perform its function at the time of inspection.")))))</f>
        <v>Pavement condition (KPI) - The percentage of the pavement asset in good condition.</v>
      </c>
    </row>
    <row r="24" spans="1:1">
      <c r="A24" s="47" t="str">
        <f>IF(B40="Pavement condition","National-level target: Percentage of the network (as defined by HAPMS, excluding DBFOs) in good condition at 96.2% or above at the end of each year."," ")</f>
        <v>National-level target: Percentage of the network (as defined by HAPMS, excluding DBFOs) in good condition at 96.2% or above at the end of each year.</v>
      </c>
    </row>
    <row r="25" spans="1:1">
      <c r="A25" s="47" t="str">
        <f>IF(B40="Pavement condition","Measure: Percentage.",IF(B40="Structures condition","Measure: Percentage.",IF(B40="Technology availability","Measure: Percentage.",IF(B40="Drainage resilience","Measure: Percentage.",IF(B40="Geotechnical condition","Measure: Percentage.")))))</f>
        <v>Measure: Percentage.</v>
      </c>
    </row>
    <row r="26" spans="1:1">
      <c r="A26" s="47" t="str">
        <f>IF(B40="Pavement condition","percentage points",IF(B40="Structures condition","percentage points",IF(B40="Technology availability","percentage points",IF(B40="Drainage resilience","percentage points",IF(B40="Geotechnical condition","percentage points")))))</f>
        <v>percentage points</v>
      </c>
    </row>
    <row r="40" spans="1:8">
      <c r="A40" s="39" t="s">
        <v>94</v>
      </c>
      <c r="B40" t="s">
        <v>102</v>
      </c>
    </row>
    <row r="41" spans="1:8">
      <c r="B41" s="97" t="s">
        <v>109</v>
      </c>
      <c r="C41" s="97" t="s">
        <v>110</v>
      </c>
      <c r="D41" s="97" t="s">
        <v>111</v>
      </c>
      <c r="E41" s="97" t="s">
        <v>112</v>
      </c>
      <c r="F41" s="97" t="s">
        <v>113</v>
      </c>
      <c r="G41" s="97" t="s">
        <v>114</v>
      </c>
      <c r="H41" s="97" t="s">
        <v>108</v>
      </c>
    </row>
    <row r="42" spans="1:8">
      <c r="A42" s="39" t="s">
        <v>125</v>
      </c>
      <c r="B42" t="s">
        <v>109</v>
      </c>
      <c r="C42" t="s">
        <v>110</v>
      </c>
      <c r="D42" t="s">
        <v>111</v>
      </c>
      <c r="E42" t="s">
        <v>112</v>
      </c>
      <c r="F42" t="s">
        <v>113</v>
      </c>
      <c r="G42" t="s">
        <v>114</v>
      </c>
      <c r="H42" t="s">
        <v>108</v>
      </c>
    </row>
    <row r="43" spans="1:8">
      <c r="A43" s="40" t="s">
        <v>115</v>
      </c>
      <c r="B43" s="38">
        <v>93.179999999999993</v>
      </c>
      <c r="C43" s="38">
        <v>95.04</v>
      </c>
      <c r="D43" s="38">
        <v>89.56</v>
      </c>
      <c r="E43" s="38">
        <v>90.539999999999992</v>
      </c>
      <c r="F43" s="38">
        <v>93.67</v>
      </c>
      <c r="G43" s="38">
        <v>93.47</v>
      </c>
      <c r="H43" s="38">
        <v>92.300000000000011</v>
      </c>
    </row>
    <row r="44" spans="1:8">
      <c r="A44" s="40" t="s">
        <v>116</v>
      </c>
      <c r="B44" s="38">
        <v>95.199999999999989</v>
      </c>
      <c r="C44" s="38">
        <v>97.1</v>
      </c>
      <c r="D44" s="38">
        <v>91.5</v>
      </c>
      <c r="E44" s="38">
        <v>92.5</v>
      </c>
      <c r="F44" s="38">
        <v>95.7</v>
      </c>
      <c r="G44" s="38">
        <v>95.5</v>
      </c>
      <c r="H44" s="38">
        <v>94.3</v>
      </c>
    </row>
    <row r="45" spans="1:8">
      <c r="A45" s="40" t="s">
        <v>117</v>
      </c>
      <c r="B45" s="38">
        <v>95.3</v>
      </c>
      <c r="C45" s="38">
        <v>97.399999999999991</v>
      </c>
      <c r="D45" s="38">
        <v>93.5</v>
      </c>
      <c r="E45" s="38">
        <v>92.600000000000009</v>
      </c>
      <c r="F45" s="38">
        <v>96.7</v>
      </c>
      <c r="G45" s="38">
        <v>96.7</v>
      </c>
      <c r="H45" s="38">
        <v>95.199999999999989</v>
      </c>
    </row>
    <row r="46" spans="1:8">
      <c r="A46" s="40" t="s">
        <v>118</v>
      </c>
      <c r="B46" s="38">
        <v>96.8</v>
      </c>
      <c r="C46" s="38">
        <v>97.2</v>
      </c>
      <c r="D46" s="38">
        <v>93.5</v>
      </c>
      <c r="E46" s="38">
        <v>94</v>
      </c>
      <c r="F46" s="38">
        <v>96.6</v>
      </c>
      <c r="G46" s="38">
        <v>96.1</v>
      </c>
      <c r="H46" s="38">
        <v>95.5</v>
      </c>
    </row>
    <row r="47" spans="1:8">
      <c r="A47" s="40" t="s">
        <v>119</v>
      </c>
      <c r="B47" s="38">
        <v>96.899999999999991</v>
      </c>
      <c r="C47" s="38">
        <v>96.7</v>
      </c>
      <c r="D47" s="38">
        <v>93.7</v>
      </c>
      <c r="E47" s="38">
        <v>94.3</v>
      </c>
      <c r="F47" s="38">
        <v>96.5</v>
      </c>
      <c r="G47" s="38">
        <v>95.3</v>
      </c>
      <c r="H47" s="38">
        <v>95.4</v>
      </c>
    </row>
    <row r="48" spans="1:8">
      <c r="A48" s="40" t="s">
        <v>120</v>
      </c>
      <c r="B48" s="38">
        <v>95.6</v>
      </c>
      <c r="C48" s="38">
        <v>97.2</v>
      </c>
      <c r="D48" s="38">
        <v>94.399999999999991</v>
      </c>
      <c r="E48" s="38">
        <v>92.100000000000009</v>
      </c>
      <c r="F48" s="38">
        <v>96.6</v>
      </c>
      <c r="G48" s="38">
        <v>96</v>
      </c>
      <c r="H48" s="38">
        <v>95.199999999999989</v>
      </c>
    </row>
    <row r="49" spans="1:13">
      <c r="A49" s="40" t="s">
        <v>121</v>
      </c>
      <c r="B49" s="38">
        <v>96</v>
      </c>
      <c r="C49" s="38">
        <v>96.4</v>
      </c>
      <c r="D49" s="38">
        <v>94.3</v>
      </c>
      <c r="E49" s="38">
        <v>93.2</v>
      </c>
      <c r="F49" s="38">
        <v>96.4</v>
      </c>
      <c r="G49" s="38">
        <v>97.3</v>
      </c>
      <c r="H49" s="38">
        <v>95.5</v>
      </c>
    </row>
    <row r="50" spans="1:13">
      <c r="A50" s="40" t="s">
        <v>122</v>
      </c>
      <c r="B50" s="38">
        <v>96.99</v>
      </c>
      <c r="C50" s="38">
        <v>96.84</v>
      </c>
      <c r="D50" s="38">
        <v>95.61</v>
      </c>
      <c r="E50" s="38">
        <v>93.61</v>
      </c>
      <c r="F50" s="38">
        <v>96.79</v>
      </c>
      <c r="G50" s="38">
        <v>97.64</v>
      </c>
      <c r="H50" s="38">
        <v>96.2</v>
      </c>
    </row>
    <row r="51" spans="1:13">
      <c r="A51" s="40" t="s">
        <v>123</v>
      </c>
      <c r="B51" s="38">
        <v>0</v>
      </c>
      <c r="C51" s="38">
        <v>0</v>
      </c>
      <c r="D51" s="38">
        <v>0</v>
      </c>
      <c r="E51" s="38">
        <v>0</v>
      </c>
      <c r="F51" s="38">
        <v>0</v>
      </c>
      <c r="G51" s="38">
        <v>0</v>
      </c>
      <c r="H51" s="38">
        <v>96.2</v>
      </c>
    </row>
    <row r="56" spans="1:13">
      <c r="M56" s="98"/>
    </row>
    <row r="57" spans="1:13" ht="15" thickBot="1"/>
    <row r="58" spans="1:13" ht="15" thickBot="1">
      <c r="A58" s="41" t="str">
        <f>INDEX(A43:A57,MATCH("*",A43:A57,-1))</f>
        <v>2023-24</v>
      </c>
      <c r="B58" s="67">
        <f>VLOOKUP(A58,$A$43:$H$57,2)</f>
        <v>0</v>
      </c>
      <c r="C58" s="67">
        <f>VLOOKUP(A58,$A$43:$H$57,3)</f>
        <v>0</v>
      </c>
      <c r="D58" s="67">
        <f>VLOOKUP(A58,$A$43:$H$57,4)</f>
        <v>0</v>
      </c>
      <c r="E58" s="67">
        <f>VLOOKUP(A58,$A$43:$H$57,5)</f>
        <v>0</v>
      </c>
      <c r="F58" s="67">
        <f>VLOOKUP(A58,$A$43:$H$57,6)</f>
        <v>0</v>
      </c>
      <c r="G58" s="67">
        <f>VLOOKUP(A58,$A$43:$H$57,7)</f>
        <v>0</v>
      </c>
      <c r="H58" s="67">
        <f>VLOOKUP(A58,$A$43:$H$57,8)</f>
        <v>96.2</v>
      </c>
      <c r="I58" s="42" t="s">
        <v>126</v>
      </c>
    </row>
    <row r="61" spans="1:13">
      <c r="A61" t="s">
        <v>127</v>
      </c>
      <c r="B61" s="38" t="str">
        <f>IFERROR(IF(MAX(B58:G58)=0,"",MAX(B58:G58)),"")</f>
        <v/>
      </c>
      <c r="E61" s="43" t="e">
        <f>(B61-$H$58)</f>
        <v>#VALUE!</v>
      </c>
      <c r="F61" t="e">
        <f>IF(E61&gt;=0," performed better by"," performed worse by")</f>
        <v>#VALUE!</v>
      </c>
      <c r="H61" t="s">
        <v>128</v>
      </c>
      <c r="I61" s="43" t="e">
        <f>ABS(E61)</f>
        <v>#VALUE!</v>
      </c>
      <c r="K61" t="e">
        <f>TEXT(I61,"0.0")&amp;" "&amp;A26</f>
        <v>#VALUE!</v>
      </c>
    </row>
    <row r="62" spans="1:13">
      <c r="A62" t="s">
        <v>129</v>
      </c>
      <c r="B62" s="38" t="str">
        <f>IFERROR(IF(MIN(B58:G58)=0,"",MIN(B58:G58)),"")</f>
        <v/>
      </c>
      <c r="E62" s="43" t="e">
        <f>(B62-$H$58)</f>
        <v>#VALUE!</v>
      </c>
      <c r="F62" t="e">
        <f>IF(E62&gt;=0," performed better by","performed worse by")</f>
        <v>#VALUE!</v>
      </c>
      <c r="H62" s="44" t="s">
        <v>128</v>
      </c>
      <c r="I62" s="43" t="e">
        <f>ABS(E62)</f>
        <v>#VALUE!</v>
      </c>
      <c r="K62" t="e">
        <f>TEXT(I62,"0.0")&amp;" "&amp;A26</f>
        <v>#VALUE!</v>
      </c>
    </row>
    <row r="64" spans="1:13">
      <c r="A64" t="s">
        <v>127</v>
      </c>
      <c r="B64" t="str">
        <f>IFERROR(INDEX(B41:H41,MATCH(B61,B58:G58,0)),"")</f>
        <v/>
      </c>
      <c r="D64" t="str">
        <f>IFERROR(INDEX(B41:H41,MATCH(B61,B58:G58,0)),"")</f>
        <v/>
      </c>
    </row>
    <row r="65" spans="1:4">
      <c r="A65" t="s">
        <v>129</v>
      </c>
      <c r="B65" t="str">
        <f>IFERROR(INDEX(B42:H42,MATCH(B62,B58:G58,0)),"")</f>
        <v/>
      </c>
      <c r="D65" t="str">
        <f>IFERROR(INDEX(B42:H42,MATCH(B62,B58:G58,0)),"")</f>
        <v/>
      </c>
    </row>
    <row r="67" spans="1:4">
      <c r="A67" t="s">
        <v>130</v>
      </c>
      <c r="B67" t="str">
        <f>IFERROR(IF(B40="Average delay",B65,IF(B40="Delay on smart motorways",B65,IF(B40="Delay from roadworks",B65,IF(B40="Delay on gateway routes",B65,B64)))),"")</f>
        <v/>
      </c>
    </row>
    <row r="68" spans="1:4">
      <c r="A68" t="s">
        <v>131</v>
      </c>
      <c r="B68" t="str">
        <f>IFERROR(IF(B40="Average delay",B64,IF(B40="Delay on smart motorways",B64,IF(B40="Delay from roadworks",B64,IF(B40="Delay on gateway routes",B64,B65)))),"")</f>
        <v/>
      </c>
    </row>
    <row r="70" spans="1:4">
      <c r="A70" s="44" t="str">
        <f>IFERROR("Compared to National Highways,"&amp;" "&amp;"the"&amp;B67&amp;""&amp;""&amp;F61&amp;" "&amp;TEXT(K61,"0.0%"&amp;" ")&amp;" while"&amp;" the"&amp;B68&amp;""&amp;" "&amp;F62&amp;" "&amp;TEXT(K62,"0.0%")&amp;".","Note: data only available at a national level")</f>
        <v>Note: data only available at a national level</v>
      </c>
    </row>
  </sheetData>
  <conditionalFormatting pivot="1" sqref="B6:B14">
    <cfRule type="expression" dxfId="13" priority="3">
      <formula>$B$40="Geotechnical condition"</formula>
    </cfRule>
  </conditionalFormatting>
  <conditionalFormatting pivot="1" sqref="B6:B14">
    <cfRule type="expression" dxfId="12" priority="1">
      <formula>$B$40="Technology availability"</formula>
    </cfRule>
  </conditionalFormatting>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Notes </vt:lpstr>
      <vt:lpstr>Table_of_contents</vt:lpstr>
      <vt:lpstr>Table_3a</vt:lpstr>
      <vt:lpstr>Table_3b</vt:lpstr>
      <vt:lpstr>Table_3c</vt:lpstr>
      <vt:lpstr>Table_3d</vt:lpstr>
      <vt:lpstr>Table_3e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Ritchie, Iain</cp:lastModifiedBy>
  <cp:revision/>
  <dcterms:created xsi:type="dcterms:W3CDTF">2021-11-15T13:31:27Z</dcterms:created>
  <dcterms:modified xsi:type="dcterms:W3CDTF">2025-07-18T15:00:45Z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