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66925"/>
  <mc:AlternateContent xmlns:mc="http://schemas.openxmlformats.org/markup-compatibility/2006">
    <mc:Choice Requires="x15">
      <x15ac:absPath xmlns:x15ac="http://schemas.microsoft.com/office/spreadsheetml/2010/11/ac" url="https://offrailroad.sharepoint.com/sites/IGP-Highways/Shared Documents/Performance monitoring/2024-25 Annual Assessment/Draft data tables/"/>
    </mc:Choice>
  </mc:AlternateContent>
  <xr:revisionPtr revIDLastSave="909" documentId="13_ncr:1_{07D095BD-C6B4-4FCF-97B9-74BE9A6B3B30}" xr6:coauthVersionLast="47" xr6:coauthVersionMax="47" xr10:uidLastSave="{0DF85CA2-1C59-4C86-820D-BEC15899446B}"/>
  <bookViews>
    <workbookView xWindow="-110" yWindow="-110" windowWidth="19420" windowHeight="11500" tabRatio="753" xr2:uid="{3D7A63F5-D680-4515-95BE-C35B6285AF85}"/>
  </bookViews>
  <sheets>
    <sheet name="Cover_sheet" sheetId="4" r:id="rId1"/>
    <sheet name="Notes " sheetId="5" r:id="rId2"/>
    <sheet name="Table_of_contents" sheetId="12" r:id="rId3"/>
    <sheet name="Table_4a" sheetId="6" r:id="rId4"/>
    <sheet name="Table_4b" sheetId="16" r:id="rId5"/>
    <sheet name="Table_4c" sheetId="7" r:id="rId6"/>
    <sheet name="Table_4d" sheetId="8" r:id="rId7"/>
    <sheet name="Table_4e" sheetId="9" r:id="rId8"/>
    <sheet name="Table_4f" sheetId="13" r:id="rId9"/>
    <sheet name="Table_4g" sheetId="14" r:id="rId10"/>
    <sheet name="Table_4h" sheetId="15" r:id="rId11"/>
    <sheet name="workings" sheetId="20" state="veryHidden" r:id="rId12"/>
    <sheet name="data" sheetId="19" state="veryHidden" r:id="rId13"/>
  </sheets>
  <definedNames>
    <definedName name="Slicer_KPI1">#N/A</definedName>
    <definedName name="Slicer_Year1">#N/A</definedName>
  </definedNames>
  <calcPr calcId="191028"/>
  <pivotCaches>
    <pivotCache cacheId="25" r:id="rId14"/>
  </pivotCaches>
  <extLst>
    <ext xmlns:x14="http://schemas.microsoft.com/office/spreadsheetml/2009/9/main" uri="{BBE1A952-AA13-448e-AADC-164F8A28A991}">
      <x14:slicerCaches>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 i="20" l="1"/>
  <c r="A24" i="20"/>
  <c r="A23" i="20"/>
  <c r="B43" i="19"/>
  <c r="E43" i="19" s="1"/>
  <c r="B44" i="19"/>
  <c r="E44" i="19" s="1"/>
  <c r="B40" i="19"/>
  <c r="C40" i="19" s="1"/>
  <c r="B36" i="19"/>
  <c r="C36" i="19" s="1"/>
  <c r="B32" i="19"/>
  <c r="C32" i="19" s="1"/>
  <c r="B23" i="19"/>
  <c r="C23" i="19" s="1"/>
  <c r="B19" i="19"/>
  <c r="C19" i="19" s="1"/>
  <c r="B15" i="19"/>
  <c r="B11" i="19"/>
  <c r="C11" i="19" s="1"/>
  <c r="A11" i="19"/>
  <c r="C43" i="19" l="1"/>
  <c r="C15" i="19"/>
  <c r="E15" i="19"/>
  <c r="C44" i="19"/>
  <c r="A44" i="19"/>
  <c r="B39" i="19"/>
  <c r="A39" i="19"/>
  <c r="B35" i="19"/>
  <c r="C35" i="19" s="1"/>
  <c r="A35" i="19"/>
  <c r="B31" i="19"/>
  <c r="C31" i="19" s="1"/>
  <c r="A31" i="19"/>
  <c r="B22" i="19"/>
  <c r="A22" i="19"/>
  <c r="B18" i="19"/>
  <c r="A18" i="19"/>
  <c r="B14" i="19"/>
  <c r="A14" i="19"/>
  <c r="B10" i="19"/>
  <c r="A10" i="19"/>
  <c r="C14" i="19" l="1"/>
  <c r="E14" i="19"/>
  <c r="E35" i="19"/>
  <c r="C39" i="19"/>
  <c r="C18" i="19"/>
  <c r="E18" i="19"/>
  <c r="F18" i="19"/>
  <c r="G18" i="19"/>
  <c r="H18" i="19"/>
  <c r="I18" i="19"/>
  <c r="J18" i="19"/>
  <c r="K18" i="19"/>
  <c r="C10" i="19"/>
  <c r="C22" i="19"/>
  <c r="E22" i="19"/>
  <c r="A26" i="20" l="1"/>
  <c r="B42" i="19"/>
  <c r="B41" i="19"/>
  <c r="A42" i="19"/>
  <c r="A41" i="19"/>
  <c r="B38" i="19"/>
  <c r="C38" i="19" s="1"/>
  <c r="B37" i="19"/>
  <c r="C37" i="19" s="1"/>
  <c r="A38" i="19"/>
  <c r="A37" i="19"/>
  <c r="B34" i="19"/>
  <c r="C34" i="19" s="1"/>
  <c r="B33" i="19"/>
  <c r="A34" i="19"/>
  <c r="A33" i="19"/>
  <c r="A26" i="19"/>
  <c r="A27" i="19"/>
  <c r="A28" i="19"/>
  <c r="A29" i="19"/>
  <c r="A30" i="19"/>
  <c r="B25" i="19"/>
  <c r="C25" i="19" s="1"/>
  <c r="B26" i="19"/>
  <c r="B27" i="19"/>
  <c r="B28" i="19"/>
  <c r="B29" i="19"/>
  <c r="B30" i="19"/>
  <c r="C30" i="19" s="1"/>
  <c r="B24" i="19"/>
  <c r="C24" i="19" s="1"/>
  <c r="A25" i="19"/>
  <c r="A24" i="19"/>
  <c r="B21" i="19"/>
  <c r="B20" i="19"/>
  <c r="C20" i="19" s="1"/>
  <c r="A21" i="19"/>
  <c r="A20" i="19"/>
  <c r="B17" i="19"/>
  <c r="C17" i="19" s="1"/>
  <c r="B16" i="19"/>
  <c r="C16" i="19" s="1"/>
  <c r="A17" i="19"/>
  <c r="B13" i="19"/>
  <c r="A16" i="19"/>
  <c r="A13" i="19"/>
  <c r="B12" i="19"/>
  <c r="A12" i="19"/>
  <c r="A9" i="19"/>
  <c r="A4" i="19"/>
  <c r="A5" i="19"/>
  <c r="A6" i="19"/>
  <c r="A7" i="19"/>
  <c r="A8" i="19"/>
  <c r="A3" i="19"/>
  <c r="B4" i="19"/>
  <c r="C4" i="19" s="1"/>
  <c r="B5" i="19"/>
  <c r="B6" i="19"/>
  <c r="B7" i="19"/>
  <c r="B8" i="19"/>
  <c r="C8" i="19" s="1"/>
  <c r="B9" i="19"/>
  <c r="C9" i="19" s="1"/>
  <c r="B3" i="19"/>
  <c r="E3" i="19" s="1"/>
  <c r="A59" i="20"/>
  <c r="B59" i="20" s="1"/>
  <c r="C13" i="19" l="1"/>
  <c r="E13" i="19"/>
  <c r="E41" i="19"/>
  <c r="C41" i="19"/>
  <c r="E12" i="19"/>
  <c r="C12" i="19"/>
  <c r="E21" i="19"/>
  <c r="C21" i="19"/>
  <c r="E42" i="19"/>
  <c r="C42" i="19"/>
  <c r="E33" i="19"/>
  <c r="C33" i="19"/>
  <c r="E29" i="19"/>
  <c r="C29" i="19"/>
  <c r="E28" i="19"/>
  <c r="C28" i="19"/>
  <c r="E27" i="19"/>
  <c r="C27" i="19"/>
  <c r="E26" i="19"/>
  <c r="C26" i="19"/>
  <c r="E7" i="19"/>
  <c r="C7" i="19"/>
  <c r="E6" i="19"/>
  <c r="C6" i="19"/>
  <c r="E5" i="19"/>
  <c r="C5" i="19"/>
  <c r="K17" i="19"/>
  <c r="J17" i="19"/>
  <c r="H17" i="19"/>
  <c r="G17" i="19"/>
  <c r="F17" i="19"/>
  <c r="I17" i="19"/>
  <c r="G59" i="20"/>
  <c r="E34" i="19"/>
  <c r="E38" i="19"/>
  <c r="E37" i="19"/>
  <c r="E25" i="19"/>
  <c r="E24" i="19"/>
  <c r="E30" i="19"/>
  <c r="E8" i="19"/>
  <c r="E9" i="19"/>
  <c r="I16" i="19"/>
  <c r="E16" i="19"/>
  <c r="J16" i="19"/>
  <c r="H16" i="19"/>
  <c r="E4" i="19"/>
  <c r="G16" i="19"/>
  <c r="E17" i="19"/>
  <c r="F16" i="19"/>
  <c r="K16" i="19"/>
  <c r="C3" i="19"/>
  <c r="H59" i="20"/>
  <c r="C59" i="20"/>
  <c r="F59" i="20"/>
  <c r="D59" i="20"/>
  <c r="E59" i="20"/>
  <c r="B62" i="20" l="1"/>
  <c r="B65" i="20" s="1" a="1"/>
  <c r="B65" i="20" s="1"/>
  <c r="A76" i="20" l="1"/>
  <c r="E65" i="20"/>
  <c r="F65" i="20" s="1"/>
  <c r="E62" i="20"/>
  <c r="I62" i="20" s="1"/>
  <c r="K62" i="20" s="1"/>
  <c r="B63" i="20"/>
  <c r="E63" i="20" l="1"/>
  <c r="I63" i="20" s="1"/>
  <c r="K63" i="20" s="1"/>
  <c r="B66" i="20"/>
  <c r="B69" i="20" s="1"/>
  <c r="A75" i="20"/>
  <c r="E66" i="20"/>
  <c r="F66" i="20" s="1"/>
  <c r="I65" i="20"/>
  <c r="A74" i="20" l="1"/>
  <c r="F63" i="20"/>
  <c r="B68" i="20"/>
  <c r="A77" i="20" s="1"/>
  <c r="I66" i="20"/>
  <c r="A72" i="20" l="1"/>
  <c r="A83" i="20" s="1"/>
  <c r="A73" i="20"/>
  <c r="A79" i="20"/>
  <c r="A87" i="20"/>
  <c r="A71" i="20"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<sst xmlns="http://schemas.openxmlformats.org/spreadsheetml/2006/main" count="471" uniqueCount="202">
  <si>
    <t>Table 4: Delivering better environmental outcomes, England's strategic road network, April 2020 to March 2025</t>
  </si>
  <si>
    <r>
      <t xml:space="preserve">The Performance Specification (PS) sets out what the government expects National Highways to achieve in that road period. The first road period (road period 1) covered April 2015 to March 2020. The second road period (road period 2)covered April 2020 to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PS4: Delivering better environmental outcomes. The KPIs under this theme are:
</t>
    </r>
    <r>
      <rPr>
        <b/>
        <sz val="12"/>
        <color rgb="FF000000"/>
        <rFont val="Calibri"/>
        <family val="2"/>
      </rPr>
      <t>KPI: Noise (National-level target for road period 2: 7,500 households benefitting from noise reduction in mitigated Noise Important Areas)
KPI: Biodiversity (National-level target for road period 2: Deliver no net loss of biodiversity, across all National Highway's activities, by the end of road period 2.)
KPI: Air quality (National-level target for road period 2: Bring links based on the Pollution Climate Mapping model into compliance with legal nitrogen (NO2) limits in the shortest timescales possible)
KPI: National Highways carbon emissions (National-level target for road period 2: Reduce National Highway's carbon emission as a result of electricity consumption, fuel use and other day-to-day operational activities by 56% at the end of RP2, from a 2017-18 baseline).</t>
    </r>
  </si>
  <si>
    <r>
      <t xml:space="preserve">The PIs under this theme are:
</t>
    </r>
    <r>
      <rPr>
        <b/>
        <sz val="12"/>
        <color rgb="FF000000"/>
        <rFont val="Calibri"/>
        <family val="2"/>
      </rPr>
      <t>PI: Supply Chain Carbon Emissions
PI: Condition of Cultural Heritage assets
PI: Water quality
PI: Litter</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</si>
  <si>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</si>
  <si>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</si>
  <si>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</si>
  <si>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</si>
  <si>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</si>
  <si>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</si>
  <si>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</si>
  <si>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2024 to March 2025)</t>
  </si>
  <si>
    <t>Performance Monitoring Statement (April 2023 to March 2024)</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</si>
  <si>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</si>
  <si>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</si>
  <si>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</si>
  <si>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</si>
  <si>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</si>
  <si>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(April 2023 to March 2024)</t>
  </si>
  <si>
    <t>Annual Benchmarking Report (Annex A April 2022 to March 2023)</t>
  </si>
  <si>
    <t>Regional Performance Disaggregation (April 2021 to March 2022)</t>
  </si>
  <si>
    <t>Regional Performance Disaggregation (April 2020 to March 2021)</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</si>
  <si>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</si>
  <si>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</si>
  <si>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</si>
  <si>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</si>
  <si>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</si>
  <si>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</si>
  <si>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</si>
  <si>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July 2025</t>
    </r>
  </si>
  <si>
    <t>Contact details</t>
  </si>
  <si>
    <t xml:space="preserve">highways.monitor@orr.gov.uk </t>
  </si>
  <si>
    <t>Media enquiries: 020 7282 3737</t>
  </si>
  <si>
    <t xml:space="preserve">Notes </t>
  </si>
  <si>
    <t xml:space="preserve">This worksheet contain one table. </t>
  </si>
  <si>
    <t xml:space="preserve">Note number </t>
  </si>
  <si>
    <t xml:space="preserve">Note text </t>
  </si>
  <si>
    <t>Note 1</t>
  </si>
  <si>
    <t>Data for 2020-21 and 2021-22 are affected by reduced travel demand due to the impact of the pandemic.</t>
  </si>
  <si>
    <t>Note 2</t>
  </si>
  <si>
    <t xml:space="preserve">Noise Important Areas, as identified by DEFRA, on all trunk roads and motorways forming the strategic road network. This includes roads managed by DBFO organisations. </t>
  </si>
  <si>
    <t>Note 3</t>
  </si>
  <si>
    <t xml:space="preserve">Habitat changes across all National Highways activities, where such activities commence within road period 2. </t>
  </si>
  <si>
    <t>Note 4</t>
  </si>
  <si>
    <t xml:space="preserve">A biodiversity unit is defined as a standard quantification of biodiversity made up of area and quality of habitats. </t>
  </si>
  <si>
    <t>Note 5</t>
  </si>
  <si>
    <t>Bring links agreed with the department and based on the Pollution Climate Mapping model into compliance with legal NO2 limits in the shortest timescales possible.</t>
  </si>
  <si>
    <t>Note 6</t>
  </si>
  <si>
    <t>Supply Chain Carbon Emissions PI - this metric became operational from 1 April 2021. The metric includes all direct suppliers and major projects under National Highways management involved in the construction, maintenance and operation of the network. The normalised figure excludes Design, Build, Finance and Operate (DBFO) contracts.</t>
  </si>
  <si>
    <t>Note 7</t>
  </si>
  <si>
    <t>All culturally significant assets owned by National Highways on the strategic road network, as defined by: 
• They are listed in at least one of the data sources (see input data below) 
• They have a cultural heritage asset plan 
• They are located on or overlapping with National Highways land 
• They meet these criteria after the National Highways asset on the land concerned has been commissioned</t>
  </si>
  <si>
    <t>Table of contents</t>
  </si>
  <si>
    <t>This worksheet contains one table.</t>
  </si>
  <si>
    <t>Worksheet name</t>
  </si>
  <si>
    <t>Worksheet title</t>
  </si>
  <si>
    <t>Table_4a</t>
  </si>
  <si>
    <r>
      <t xml:space="preserve">Noise: </t>
    </r>
    <r>
      <rPr>
        <sz val="12"/>
        <color rgb="FF000000"/>
        <rFont val="Calibri"/>
        <family val="2"/>
        <scheme val="minor"/>
      </rPr>
      <t xml:space="preserve">measures the number of households within mitigated Noise Important Areas where noise has been reduced through National Highways designated fund projects. </t>
    </r>
  </si>
  <si>
    <t>Table_4b</t>
  </si>
  <si>
    <r>
      <t xml:space="preserve">Biodiversity: </t>
    </r>
    <r>
      <rPr>
        <sz val="12"/>
        <color rgb="FF000000"/>
        <rFont val="Calibri"/>
        <family val="2"/>
        <scheme val="minor"/>
      </rPr>
      <t xml:space="preserve">measures the net loss of biodiversity across National Highways activities, where activities started within road period 2. </t>
    </r>
  </si>
  <si>
    <t>Table_4c</t>
  </si>
  <si>
    <r>
      <t xml:space="preserve">Air Quality: </t>
    </r>
    <r>
      <rPr>
        <sz val="12"/>
        <color rgb="FF000000"/>
        <rFont val="Calibri"/>
        <family val="2"/>
        <scheme val="minor"/>
      </rPr>
      <t xml:space="preserve">measures the number of links in exceedance of the legal nitrogen dioxide (NO2) limits as set by the EU and accepted by the government. </t>
    </r>
  </si>
  <si>
    <t>Table_4d</t>
  </si>
  <si>
    <r>
      <t xml:space="preserve">National Highways carbon emissions: </t>
    </r>
    <r>
      <rPr>
        <sz val="12"/>
        <rFont val="Calibri"/>
        <family val="2"/>
        <scheme val="minor"/>
      </rPr>
      <t>measures the carbon emissions as a result of electricity consumption, fuel use and other day-to-day operational activities RP2.</t>
    </r>
  </si>
  <si>
    <t>Table_4e</t>
  </si>
  <si>
    <r>
      <rPr>
        <b/>
        <sz val="12"/>
        <color rgb="FF000000"/>
        <rFont val="Calibri"/>
        <family val="2"/>
      </rPr>
      <t xml:space="preserve">Supply Chain Carbon emissions: </t>
    </r>
    <r>
      <rPr>
        <sz val="12"/>
        <color rgb="FF000000"/>
        <rFont val="Calibri"/>
        <family val="2"/>
      </rPr>
      <t>measures the carbon footprint associated with National Highways' supply chain and also normalised by the volume of work undertaken.</t>
    </r>
  </si>
  <si>
    <t>Table_4f</t>
  </si>
  <si>
    <r>
      <t xml:space="preserve">Condition of Cultural Heritage assets: </t>
    </r>
    <r>
      <rPr>
        <sz val="12"/>
        <rFont val="Calibri"/>
        <family val="2"/>
        <scheme val="minor"/>
      </rPr>
      <t>a numeric score that measures the overall condition of the culturally significant assets owned by National Highways. The larger the figure, the better overall condition of the culturally significant assets.</t>
    </r>
  </si>
  <si>
    <t>Table_4g</t>
  </si>
  <si>
    <r>
      <t xml:space="preserve">Water Quality: </t>
    </r>
    <r>
      <rPr>
        <sz val="12"/>
        <rFont val="Calibri"/>
        <family val="2"/>
        <scheme val="minor"/>
      </rPr>
      <t>measures the length of watercourse enhanced through the mitigation of medium, high, and very high risk outfalls as well as through other enhancements, for example river retraining/rewilding.</t>
    </r>
  </si>
  <si>
    <t>Table_4h</t>
  </si>
  <si>
    <r>
      <t xml:space="preserve">Litter: </t>
    </r>
    <r>
      <rPr>
        <sz val="12"/>
        <rFont val="Calibri"/>
        <family val="2"/>
        <scheme val="minor"/>
      </rPr>
      <t>the percentage of the SRN where litter is graded at A or B as defined in the code of practice on litter and refuse 2006</t>
    </r>
    <r>
      <rPr>
        <b/>
        <sz val="12"/>
        <rFont val="Calibri"/>
        <family val="2"/>
        <scheme val="minor"/>
      </rPr>
      <t xml:space="preserve">. </t>
    </r>
  </si>
  <si>
    <t>Table 4a: Noise, England's strategic road network, annual data, April 2015 to March 2025 [Note 2]</t>
  </si>
  <si>
    <t>Some shorthand is used in this table, [x] = not available. [b] = break in time series.</t>
  </si>
  <si>
    <t>A road period spans five years. The first road period (road period 1) commenced in April 2015 and ended in March 2020. The second road period (road period 2) commenced in April 2020 and ended in March 2025. A black dividing line is used to separate the two road periods.</t>
  </si>
  <si>
    <r>
      <rPr>
        <b/>
        <sz val="12"/>
        <color rgb="FFFF0000"/>
        <rFont val="Calibri"/>
        <family val="2"/>
      </rPr>
      <t>National-level target for road period 2</t>
    </r>
    <r>
      <rPr>
        <sz val="12"/>
        <color rgb="FFFF0000"/>
        <rFont val="Calibri"/>
        <family val="2"/>
      </rPr>
      <t>: 7,500 households benefitting from noise reduction in mitigated Noise Important Areas.</t>
    </r>
  </si>
  <si>
    <t>Time period</t>
  </si>
  <si>
    <t>England's strategic road network 
(Number of households within Noise Important Areas where noise has been reduced)</t>
  </si>
  <si>
    <t>Yorkshire and North East
(Number of households within Noise Important Areas where noise has been reduced)</t>
  </si>
  <si>
    <t>North West
(Number of households within Noise Important Areas where noise has been reduced)</t>
  </si>
  <si>
    <t>Midlands
(Number of households within Noise Important Areas where noise has been reduced)</t>
  </si>
  <si>
    <t>East
(Number of households within Noise Important Areas where noise has been reduced)</t>
  </si>
  <si>
    <t>South East
(Number of households within Noise Important Areas where noise has been reduced)</t>
  </si>
  <si>
    <t>South West
(Number of households within Noise Important Areas where noise has been reduced)</t>
  </si>
  <si>
    <t>April 2015 to March 2016</t>
  </si>
  <si>
    <t>[x]</t>
  </si>
  <si>
    <t>April 2016 to March 2017</t>
  </si>
  <si>
    <t>April 2017 to March 2018</t>
  </si>
  <si>
    <t>April 2018 to March 2019</t>
  </si>
  <si>
    <t>April 2019 to March 2020</t>
  </si>
  <si>
    <t>April 2020 to March 2021 [b]</t>
  </si>
  <si>
    <t>April 2021 to March 2022</t>
  </si>
  <si>
    <t>April 2022 to March 2023</t>
  </si>
  <si>
    <t>April 2023 to March 2024</t>
  </si>
  <si>
    <t>April 2024 to March 2025</t>
  </si>
  <si>
    <t>Table 4b: Biodiversity, England's strategic road network, annual data, April 2020 to March 2025 [Note 3][Note 4]</t>
  </si>
  <si>
    <r>
      <t xml:space="preserve">National-level target for road period 2: </t>
    </r>
    <r>
      <rPr>
        <sz val="12"/>
        <color rgb="FFFF0000"/>
        <rFont val="Calibri"/>
        <family val="2"/>
      </rPr>
      <t>Achieve no net loss of biodiversity, across all National Highways activities, by the end of road period 2.</t>
    </r>
  </si>
  <si>
    <t>National Highways
(Biodiversity units delivered)</t>
  </si>
  <si>
    <t>Yorkshire and North East
(Biodiversity units delivered)</t>
  </si>
  <si>
    <t>North West
(Biodiversity units delivered)</t>
  </si>
  <si>
    <t>Midlands
(Biodiversity units delivered)</t>
  </si>
  <si>
    <t>East
(Biodiversity units delivered)</t>
  </si>
  <si>
    <t>South East
(Biodiversity units delivered)</t>
  </si>
  <si>
    <t>South West
(Biodiversity units delivered)</t>
  </si>
  <si>
    <t xml:space="preserve">April 2020 to March 2021 </t>
  </si>
  <si>
    <t>Table 4c: Air Quality, England's strategic road network, annual data, April 2020 to March 2025 [Note 5]</t>
  </si>
  <si>
    <r>
      <rPr>
        <b/>
        <sz val="12"/>
        <color rgb="FFFF0000"/>
        <rFont val="Calibri"/>
        <family val="2"/>
      </rPr>
      <t>National-level target for road period 2:</t>
    </r>
    <r>
      <rPr>
        <sz val="12"/>
        <color rgb="FFFF0000"/>
        <rFont val="Calibri"/>
        <family val="2"/>
      </rPr>
      <t xml:space="preserve"> Bring links based on the Pollution Climate Mapping model into compliance with legal nitrogen (NO2) limits in the shortest timescales possible.</t>
    </r>
  </si>
  <si>
    <t>England's strategic road network
(number of links in exceedance of the legal nitrogen dioxide (NO2) limits)</t>
  </si>
  <si>
    <t>Yorkshire and North East
(number of links in exceedance of the legal nitrogen dioxide (NO2) limits)</t>
  </si>
  <si>
    <t>North West
(number of links in exceedance of the legal nitrogen dioxide (NO2) limits)</t>
  </si>
  <si>
    <t>Midlands
(number of links in exceedance of the legal nitrogen dioxide (NO2) limits)</t>
  </si>
  <si>
    <t>East
(number of links in exceedance of the legal nitrogen dioxide (NO2) limits)</t>
  </si>
  <si>
    <t>South East
(number of  links in exceedance of the legal nitrogen dioxide (NO2) limits)</t>
  </si>
  <si>
    <t>South West
(number of links in exceedance of the legal nitrogen dioxide (NO2) limits)</t>
  </si>
  <si>
    <t>Table 4d: National Highways carbon emissions, annual data, April 2020 to March 2025</t>
  </si>
  <si>
    <t xml:space="preserve">Some shorthand is used in this table, [x] = not available. </t>
  </si>
  <si>
    <t>National-level target: Reduce National Highways' carbon emission as a result of electricity consumption, fuel use and other day-to-day operational activities by 56% at the end of RP2, compared to 2017-18.</t>
  </si>
  <si>
    <t>National Highways 
(tonnes of CO2e)</t>
  </si>
  <si>
    <t>April 2020 to March 2021</t>
  </si>
  <si>
    <t xml:space="preserve"> [x]</t>
  </si>
  <si>
    <t>Table 4e: Supply chain carbon emissions, National Highways, annual data, April 2015 to March 2025 [Note 6]</t>
  </si>
  <si>
    <t>National Highways
(absolute tonnes CO2e)</t>
  </si>
  <si>
    <t>Yorkshire and North East 
(absolute tonnes CO2e)</t>
  </si>
  <si>
    <t>North West
(absolute tonnes CO2e)</t>
  </si>
  <si>
    <t>Midlands
(absolute tonnes CO2e)</t>
  </si>
  <si>
    <t>East
(absolute tonnes CO2e)</t>
  </si>
  <si>
    <t>South East
(absolute tonnes CO2e)</t>
  </si>
  <si>
    <t>South West
(absolute tonnes CO2e)</t>
  </si>
  <si>
    <t>March 2021 to April 2022</t>
  </si>
  <si>
    <t>Table 4f: Condition of Cultural Heritage assets, England's strategic road network, annual data, April 2020 to March 2025 [Note 7]</t>
  </si>
  <si>
    <t>England's strategic road network
(numeric score)</t>
  </si>
  <si>
    <t>`</t>
  </si>
  <si>
    <t>Table 4g: Water quality , England's strategic road network, annual data, April 2020 to March 2025</t>
  </si>
  <si>
    <t>England's strategic road network
(km of watercourse enhanced)</t>
  </si>
  <si>
    <t>Yorkshire and North East 
(km of watercourse enhanced)</t>
  </si>
  <si>
    <t>North West
(km of watercourse enhanced)</t>
  </si>
  <si>
    <t>Midlands
(km of watercourse enhanced)</t>
  </si>
  <si>
    <t>East
(km of watercourse enhanced)</t>
  </si>
  <si>
    <t>South East
(km of watercourse enhanced)</t>
  </si>
  <si>
    <t>South West
(km of watercourse enhanced)</t>
  </si>
  <si>
    <t>Table 4h: Litter, England's strategic road network, annual data, April 2020 to March 2025</t>
  </si>
  <si>
    <t>England's strategic road network
 (percentage)</t>
  </si>
  <si>
    <t>Yorkshire and North East
(percentage)</t>
  </si>
  <si>
    <t>North West
(percentage)</t>
  </si>
  <si>
    <t>Midlands
(percentage)</t>
  </si>
  <si>
    <t>East
(percentage)</t>
  </si>
  <si>
    <t>South East
(percentage)</t>
  </si>
  <si>
    <t>South West
(percentage)</t>
  </si>
  <si>
    <t>CHARTS</t>
  </si>
  <si>
    <t>Year</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</si>
  <si>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</si>
  <si>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</si>
  <si>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</si>
  <si>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</si>
  <si>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</si>
  <si>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</si>
  <si>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</si>
  <si>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2015-16</t>
  </si>
  <si>
    <t>2016-17</t>
  </si>
  <si>
    <t>2017-18</t>
  </si>
  <si>
    <t>2018-19</t>
  </si>
  <si>
    <t>2019-20</t>
  </si>
  <si>
    <t>2020-21</t>
  </si>
  <si>
    <t>2021-22</t>
  </si>
  <si>
    <t>2022-23</t>
  </si>
  <si>
    <t>2023-24</t>
  </si>
  <si>
    <t xml:space="preserve">Yorkshire and North East </t>
  </si>
  <si>
    <t xml:space="preserve">North West </t>
  </si>
  <si>
    <t xml:space="preserve">Midlands </t>
  </si>
  <si>
    <t>East</t>
  </si>
  <si>
    <t xml:space="preserve">South East </t>
  </si>
  <si>
    <t>South West</t>
  </si>
  <si>
    <t>National Highways</t>
  </si>
  <si>
    <t>KPI</t>
  </si>
  <si>
    <t>Noise</t>
  </si>
  <si>
    <t xml:space="preserve"> North West
</t>
  </si>
  <si>
    <t xml:space="preserve"> Midlands
</t>
  </si>
  <si>
    <t xml:space="preserve"> East
</t>
  </si>
  <si>
    <t xml:space="preserve"> South East
</t>
  </si>
  <si>
    <t xml:space="preserve"> South West
</t>
  </si>
  <si>
    <t>Latest year</t>
  </si>
  <si>
    <t>compared to NH</t>
  </si>
  <si>
    <t>max</t>
  </si>
  <si>
    <t xml:space="preserve"> accounts for </t>
  </si>
  <si>
    <t>Absolute value</t>
  </si>
  <si>
    <t>min</t>
  </si>
  <si>
    <t>ENV</t>
  </si>
  <si>
    <t>Best performing</t>
  </si>
  <si>
    <t>Worst performing</t>
  </si>
  <si>
    <t>Table</t>
  </si>
  <si>
    <t>Time frame</t>
  </si>
  <si>
    <t>Yorkshire and North East</t>
  </si>
  <si>
    <t xml:space="preserve">North West
</t>
  </si>
  <si>
    <t xml:space="preserve">Midlands
</t>
  </si>
  <si>
    <t xml:space="preserve">East
</t>
  </si>
  <si>
    <t xml:space="preserve">South East
</t>
  </si>
  <si>
    <t xml:space="preserve">South West
</t>
  </si>
  <si>
    <t>Biodiversity</t>
  </si>
  <si>
    <t>Air Quality</t>
  </si>
  <si>
    <t>National Highways carbon emissions</t>
  </si>
  <si>
    <t>Supply chain carbon emissions</t>
  </si>
  <si>
    <t>Condition of Cultural Heritage assets</t>
  </si>
  <si>
    <t>Water quality</t>
  </si>
  <si>
    <t>Litter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</si>
</sst>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181">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sz val="12"/>
      <color rgb="FFFF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scheme val="minor"/>
    </font>
    <font>
      <sz val="12"/>
      <color rgb="FF000000"/>
      <name val="Calibri"/>
      <family val="2"/>
      <scheme val="minor"/>
    </font>
    <font>
      <b/>
      <sz val="12"/>
      <color rgb="FF000000"/>
      <name val="Calibri"/>
      <family val="2"/>
      <scheme val="minor"/>
    </font>
    <font>
      <b/>
      <sz val="12"/>
      <name val="Calibri"/>
      <family val="2"/>
      <scheme val="minor"/>
    </font>
    <font>
      <b/>
      <sz val="12"/>
      <color rgb="FFFF0000"/>
      <name val="Calibri"/>
      <family val="2"/>
    </font>
    <font>
      <b/>
      <sz val="14"/>
      <name val="Calibri"/>
      <family val="2"/>
    </font>
    <font>
      <sz val="8"/>
      <name val="Calibri"/>
      <family val="2"/>
    </font>
    <font>
      <b/>
      <sz val="12"/>
      <name val="Calibri"/>
      <family val="2"/>
    </font>
    <font>
      <b/>
      <sz val="11"/>
      <name val="Calibri"/>
      <family val="2"/>
    </font>
    <font>
      <b/>
      <sz val="11"/>
      <color rgb="FF000000"/>
      <name val="Calibri"/>
      <family val="2"/>
    </font>
    <font>
      <sz val="10"/>
      <color rgb="FF000000"/>
      <name val="Calibri"/>
      <family val="2"/>
    </font>
    <font>
      <b/>
      <sz val="10"/>
      <color theme="0"/>
      <name val="Calibri"/>
      <family val="2"/>
    </font>
    <font>
      <sz val="11"/>
      <color theme="0" tint="-0.14999847407452621"/>
      <name val="Calibri"/>
      <family val="2"/>
    </font>
    <font>
      <sz val="11"/>
      <name val="Segoe UI"/>
      <family val="2"/>
    </font>
    <font>
      <sz val="11"/>
      <name val="Calibri"/>
      <family val="2"/>
    </font>
    <font>
      <sz val="12"/>
      <color theme="1"/>
      <name val="Calibri"/>
      <family val="2"/>
    </font>
  </fonts>
  <fills count="11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rgb="FFFFFF00"/>
        <bgColor indexed="64"/>
      </patternFill>
    </fill>
    <fill>
      <patternFill patternType="solid">
        <fgColor theme="4"/>
        <bgColor theme="4"/>
      </patternFill>
    </fill>
  </fills>
  <borders count="64">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3" fillId="0" borderId="0" applyNumberFormat="0" applyFill="0" applyBorder="0" applyAlignment="0" applyProtection="0"/>
    <xf numFmtId="0" fontId="14" fillId="0" borderId="0"/>
    <xf numFmtId="43" fontId="1"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0" fillId="0" borderId="0"/>
    <xf numFmtId="0" fontId="20" fillId="0" borderId="0"/>
    <xf numFmtId="0" fontId="20" fillId="0" borderId="0"/>
    <xf numFmtId="0" fontId="20" fillId="0" borderId="0"/>
    <xf numFmtId="0" fontId="21" fillId="0" borderId="11" applyNumberFormat="0" applyFill="0" applyProtection="0">
      <alignment horizontal="center"/>
    </xf>
    <xf numFmtId="165" fontId="20" fillId="0" borderId="0" applyFont="0" applyFill="0" applyBorder="0" applyProtection="0">
      <alignment horizontal="right"/>
    </xf>
    <xf numFmtId="165" fontId="20" fillId="0" borderId="0" applyFont="0" applyFill="0" applyBorder="0" applyProtection="0">
      <alignment horizontal="right"/>
    </xf>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167" fontId="20" fillId="0" borderId="0" applyFont="0" applyFill="0" applyBorder="0" applyProtection="0">
      <alignment horizontal="right"/>
    </xf>
    <xf numFmtId="167" fontId="20" fillId="0" borderId="0" applyFont="0" applyFill="0" applyBorder="0" applyProtection="0">
      <alignment horizontal="right"/>
    </xf>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178" fontId="20" fillId="0" borderId="0" applyBorder="0"/>
    <xf numFmtId="0" fontId="40" fillId="51" borderId="12" applyNumberFormat="0" applyAlignment="0" applyProtection="0"/>
    <xf numFmtId="0" fontId="41" fillId="52" borderId="13" applyNumberFormat="0" applyAlignment="0" applyProtection="0"/>
    <xf numFmtId="167" fontId="22" fillId="0" borderId="0" applyFont="0" applyFill="0" applyBorder="0" applyProtection="0">
      <alignment horizontal="right"/>
    </xf>
    <xf numFmtId="169" fontId="22" fillId="0" borderId="0" applyFont="0" applyFill="0" applyBorder="0" applyProtection="0">
      <alignment horizontal="left"/>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4" fillId="0" borderId="14" applyNumberFormat="0" applyBorder="0" applyAlignment="0" applyProtection="0">
      <alignment horizontal="right" vertical="center"/>
    </xf>
    <xf numFmtId="179" fontId="20" fillId="0" borderId="0" applyFont="0" applyFill="0" applyBorder="0" applyAlignment="0" applyProtection="0"/>
    <xf numFmtId="0" fontId="42" fillId="0" borderId="0" applyNumberFormat="0" applyFill="0" applyBorder="0" applyAlignment="0" applyProtection="0"/>
    <xf numFmtId="0" fontId="55" fillId="0" borderId="0">
      <alignment horizontal="right"/>
      <protection locked="0"/>
    </xf>
    <xf numFmtId="0" fontId="23" fillId="0" borderId="0">
      <alignment horizontal="left"/>
    </xf>
    <xf numFmtId="0" fontId="24"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43" fillId="34" borderId="0" applyNumberFormat="0" applyBorder="0" applyAlignment="0" applyProtection="0"/>
    <xf numFmtId="38" fontId="15" fillId="53" borderId="0" applyNumberFormat="0" applyBorder="0" applyAlignment="0" applyProtection="0"/>
    <xf numFmtId="0" fontId="25" fillId="54" borderId="15" applyProtection="0">
      <alignment horizontal="right"/>
    </xf>
    <xf numFmtId="0" fontId="26" fillId="54" borderId="0" applyProtection="0">
      <alignment horizontal="left"/>
    </xf>
    <xf numFmtId="0" fontId="44" fillId="0" borderId="16" applyNumberFormat="0" applyFill="0" applyAlignment="0" applyProtection="0"/>
    <xf numFmtId="0" fontId="56" fillId="0" borderId="0">
      <alignment vertical="top" wrapText="1"/>
    </xf>
    <xf numFmtId="0" fontId="56" fillId="0" borderId="0">
      <alignment vertical="top" wrapText="1"/>
    </xf>
    <xf numFmtId="0" fontId="56" fillId="0" borderId="0">
      <alignment vertical="top" wrapText="1"/>
    </xf>
    <xf numFmtId="0" fontId="56" fillId="0" borderId="0">
      <alignment vertical="top" wrapText="1"/>
    </xf>
    <xf numFmtId="0" fontId="45" fillId="0" borderId="17" applyNumberFormat="0" applyFill="0" applyAlignment="0" applyProtection="0"/>
    <xf numFmtId="170" fontId="57" fillId="0" borderId="0" applyNumberFormat="0" applyFill="0" applyAlignment="0" applyProtection="0"/>
    <xf numFmtId="0" fontId="46" fillId="0" borderId="18" applyNumberFormat="0" applyFill="0" applyAlignment="0" applyProtection="0"/>
    <xf numFmtId="170" fontId="58" fillId="0" borderId="0" applyNumberFormat="0" applyFill="0" applyAlignment="0" applyProtection="0"/>
    <xf numFmtId="0" fontId="46" fillId="0" borderId="0" applyNumberFormat="0" applyFill="0" applyBorder="0" applyAlignment="0" applyProtection="0"/>
    <xf numFmtId="170" fontId="59"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7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9" fillId="0" borderId="0" applyFill="0" applyBorder="0" applyProtection="0">
      <alignment horizontal="left"/>
    </xf>
    <xf numFmtId="10" fontId="15" fillId="55" borderId="9" applyNumberFormat="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25" fillId="0" borderId="19" applyProtection="0">
      <alignment horizontal="right"/>
    </xf>
    <xf numFmtId="0" fontId="25" fillId="0" borderId="15" applyProtection="0">
      <alignment horizontal="right"/>
    </xf>
    <xf numFmtId="0" fontId="25" fillId="0" borderId="20" applyProtection="0">
      <alignment horizontal="center"/>
      <protection locked="0"/>
    </xf>
    <xf numFmtId="0" fontId="48" fillId="0" borderId="21"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49" fillId="44"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56" borderId="22" applyNumberFormat="0" applyFont="0" applyAlignment="0" applyProtection="0"/>
    <xf numFmtId="0" fontId="50" fillId="51" borderId="23" applyNumberFormat="0" applyAlignment="0" applyProtection="0"/>
    <xf numFmtId="40" fontId="62" fillId="57" borderId="0">
      <alignment horizontal="right"/>
    </xf>
    <xf numFmtId="0" fontId="63" fillId="57" borderId="0">
      <alignment horizontal="right"/>
    </xf>
    <xf numFmtId="0" fontId="64" fillId="57" borderId="24"/>
    <xf numFmtId="0" fontId="64" fillId="0" borderId="0" applyBorder="0">
      <alignment horizontal="centerContinuous"/>
    </xf>
    <xf numFmtId="0" fontId="65" fillId="0" borderId="0" applyBorder="0">
      <alignment horizontal="centerContinuous"/>
    </xf>
    <xf numFmtId="171" fontId="20" fillId="0" borderId="0" applyFont="0" applyFill="0" applyBorder="0" applyProtection="0">
      <alignment horizontal="right"/>
    </xf>
    <xf numFmtId="171"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0"/>
    <xf numFmtId="2" fontId="66" fillId="58" borderId="10" applyAlignment="0" applyProtection="0">
      <protection locked="0"/>
    </xf>
    <xf numFmtId="0" fontId="67" fillId="55" borderId="10" applyNumberFormat="0" applyAlignment="0" applyProtection="0"/>
    <xf numFmtId="0" fontId="68" fillId="59" borderId="9" applyNumberFormat="0" applyAlignment="0" applyProtection="0">
      <alignment horizontal="center" vertical="center"/>
    </xf>
    <xf numFmtId="4" fontId="30" fillId="60" borderId="23" applyNumberFormat="0" applyProtection="0">
      <alignment vertical="center"/>
    </xf>
    <xf numFmtId="4" fontId="69" fillId="60" borderId="23" applyNumberFormat="0" applyProtection="0">
      <alignment vertical="center"/>
    </xf>
    <xf numFmtId="4" fontId="30" fillId="60" borderId="23" applyNumberFormat="0" applyProtection="0">
      <alignment horizontal="left" vertical="center" indent="1"/>
    </xf>
    <xf numFmtId="4" fontId="30" fillId="60" borderId="23" applyNumberFormat="0" applyProtection="0">
      <alignment horizontal="left" vertical="center" indent="1"/>
    </xf>
    <xf numFmtId="0" fontId="20" fillId="61" borderId="23" applyNumberFormat="0" applyProtection="0">
      <alignment horizontal="left" vertical="center" indent="1"/>
    </xf>
    <xf numFmtId="4" fontId="30" fillId="62" borderId="23" applyNumberFormat="0" applyProtection="0">
      <alignment horizontal="right" vertical="center"/>
    </xf>
    <xf numFmtId="4" fontId="30" fillId="63" borderId="23" applyNumberFormat="0" applyProtection="0">
      <alignment horizontal="right" vertical="center"/>
    </xf>
    <xf numFmtId="4" fontId="30" fillId="64" borderId="23" applyNumberFormat="0" applyProtection="0">
      <alignment horizontal="right" vertical="center"/>
    </xf>
    <xf numFmtId="4" fontId="30" fillId="65" borderId="23" applyNumberFormat="0" applyProtection="0">
      <alignment horizontal="right" vertical="center"/>
    </xf>
    <xf numFmtId="4" fontId="30" fillId="66" borderId="23" applyNumberFormat="0" applyProtection="0">
      <alignment horizontal="right" vertical="center"/>
    </xf>
    <xf numFmtId="4" fontId="30" fillId="67" borderId="23" applyNumberFormat="0" applyProtection="0">
      <alignment horizontal="right" vertical="center"/>
    </xf>
    <xf numFmtId="4" fontId="30" fillId="68" borderId="23" applyNumberFormat="0" applyProtection="0">
      <alignment horizontal="right" vertical="center"/>
    </xf>
    <xf numFmtId="4" fontId="30" fillId="69" borderId="23" applyNumberFormat="0" applyProtection="0">
      <alignment horizontal="right" vertical="center"/>
    </xf>
    <xf numFmtId="4" fontId="30" fillId="70" borderId="23" applyNumberFormat="0" applyProtection="0">
      <alignment horizontal="right" vertical="center"/>
    </xf>
    <xf numFmtId="4" fontId="70" fillId="71" borderId="23" applyNumberFormat="0" applyProtection="0">
      <alignment horizontal="left" vertical="center" indent="1"/>
    </xf>
    <xf numFmtId="4" fontId="30" fillId="72" borderId="25" applyNumberFormat="0" applyProtection="0">
      <alignment horizontal="left" vertical="center" indent="1"/>
    </xf>
    <xf numFmtId="4" fontId="71" fillId="73" borderId="0" applyNumberFormat="0" applyProtection="0">
      <alignment horizontal="left" vertical="center" indent="1"/>
    </xf>
    <xf numFmtId="0" fontId="20" fillId="61" borderId="23" applyNumberFormat="0" applyProtection="0">
      <alignment horizontal="left" vertical="center" indent="1"/>
    </xf>
    <xf numFmtId="4" fontId="30" fillId="72" borderId="23" applyNumberFormat="0" applyProtection="0">
      <alignment horizontal="left" vertical="center" indent="1"/>
    </xf>
    <xf numFmtId="4" fontId="30" fillId="74" borderId="23" applyNumberFormat="0" applyProtection="0">
      <alignment horizontal="left" vertical="center" indent="1"/>
    </xf>
    <xf numFmtId="0" fontId="20" fillId="74" borderId="23" applyNumberFormat="0" applyProtection="0">
      <alignment horizontal="left" vertical="center" indent="1"/>
    </xf>
    <xf numFmtId="0" fontId="20" fillId="74" borderId="23" applyNumberFormat="0" applyProtection="0">
      <alignment horizontal="left" vertical="center" indent="1"/>
    </xf>
    <xf numFmtId="0" fontId="20" fillId="59" borderId="23" applyNumberFormat="0" applyProtection="0">
      <alignment horizontal="left" vertical="center" indent="1"/>
    </xf>
    <xf numFmtId="0" fontId="20" fillId="59" borderId="23" applyNumberFormat="0" applyProtection="0">
      <alignment horizontal="left" vertical="center" indent="1"/>
    </xf>
    <xf numFmtId="0" fontId="20" fillId="53" borderId="23" applyNumberFormat="0" applyProtection="0">
      <alignment horizontal="left" vertical="center" indent="1"/>
    </xf>
    <xf numFmtId="0" fontId="20" fillId="53" borderId="23" applyNumberFormat="0" applyProtection="0">
      <alignment horizontal="left" vertical="center" indent="1"/>
    </xf>
    <xf numFmtId="0" fontId="20" fillId="61" borderId="23" applyNumberFormat="0" applyProtection="0">
      <alignment horizontal="left" vertical="center" indent="1"/>
    </xf>
    <xf numFmtId="0" fontId="20" fillId="61" borderId="23" applyNumberFormat="0" applyProtection="0">
      <alignment horizontal="left" vertical="center" indent="1"/>
    </xf>
    <xf numFmtId="4" fontId="30" fillId="55" borderId="23" applyNumberFormat="0" applyProtection="0">
      <alignment vertical="center"/>
    </xf>
    <xf numFmtId="4" fontId="69" fillId="55" borderId="23" applyNumberFormat="0" applyProtection="0">
      <alignment vertical="center"/>
    </xf>
    <xf numFmtId="4" fontId="30" fillId="55" borderId="23" applyNumberFormat="0" applyProtection="0">
      <alignment horizontal="left" vertical="center" indent="1"/>
    </xf>
    <xf numFmtId="4" fontId="30" fillId="55" borderId="23" applyNumberFormat="0" applyProtection="0">
      <alignment horizontal="left" vertical="center" indent="1"/>
    </xf>
    <xf numFmtId="4" fontId="30" fillId="72" borderId="23" applyNumberFormat="0" applyProtection="0">
      <alignment horizontal="right" vertical="center"/>
    </xf>
    <xf numFmtId="4" fontId="69" fillId="72" borderId="23" applyNumberFormat="0" applyProtection="0">
      <alignment horizontal="right" vertical="center"/>
    </xf>
    <xf numFmtId="0" fontId="20" fillId="61" borderId="23" applyNumberFormat="0" applyProtection="0">
      <alignment horizontal="left" vertical="center" indent="1"/>
    </xf>
    <xf numFmtId="0" fontId="20" fillId="61" borderId="23" applyNumberFormat="0" applyProtection="0">
      <alignment horizontal="left" vertical="center" indent="1"/>
    </xf>
    <xf numFmtId="0" fontId="72" fillId="0" borderId="0"/>
    <xf numFmtId="4" fontId="73" fillId="72" borderId="23" applyNumberFormat="0" applyProtection="0">
      <alignment horizontal="right" vertical="center"/>
    </xf>
    <xf numFmtId="0" fontId="20" fillId="0" borderId="0"/>
    <xf numFmtId="0" fontId="31" fillId="57" borderId="8">
      <alignment horizontal="center"/>
    </xf>
    <xf numFmtId="3" fontId="32" fillId="57" borderId="0"/>
    <xf numFmtId="3" fontId="31" fillId="57" borderId="0"/>
    <xf numFmtId="0" fontId="32" fillId="57" borderId="0"/>
    <xf numFmtId="0" fontId="31" fillId="57" borderId="0"/>
    <xf numFmtId="0" fontId="32" fillId="57" borderId="0">
      <alignment horizontal="center"/>
    </xf>
    <xf numFmtId="0" fontId="33" fillId="0" borderId="0">
      <alignment wrapText="1"/>
    </xf>
    <xf numFmtId="0" fontId="33" fillId="0" borderId="0">
      <alignment wrapText="1"/>
    </xf>
    <xf numFmtId="0" fontId="33" fillId="0" borderId="0">
      <alignment wrapText="1"/>
    </xf>
    <xf numFmtId="0" fontId="33" fillId="0" borderId="0">
      <alignment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7" fillId="0" borderId="0"/>
    <xf numFmtId="0" fontId="37" fillId="0" borderId="0"/>
    <xf numFmtId="0" fontId="37" fillId="0" borderId="0"/>
    <xf numFmtId="172" fontId="15" fillId="0" borderId="0">
      <alignment wrapText="1"/>
      <protection locked="0"/>
    </xf>
    <xf numFmtId="172" fontId="15" fillId="0"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15" fillId="0" borderId="0">
      <alignment wrapText="1"/>
      <protection locked="0"/>
    </xf>
    <xf numFmtId="173" fontId="15" fillId="0" borderId="0">
      <alignment wrapText="1"/>
      <protection locked="0"/>
    </xf>
    <xf numFmtId="173" fontId="15" fillId="0" borderId="0">
      <alignment wrapText="1"/>
      <protection locked="0"/>
    </xf>
    <xf numFmtId="173" fontId="15" fillId="0"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15" fillId="0" borderId="0">
      <alignment wrapText="1"/>
      <protection locked="0"/>
    </xf>
    <xf numFmtId="174" fontId="15" fillId="0" borderId="0">
      <alignment wrapText="1"/>
      <protection locked="0"/>
    </xf>
    <xf numFmtId="174" fontId="15" fillId="0"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15" fillId="0" borderId="0">
      <alignment wrapText="1"/>
      <protection locked="0"/>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40" fontId="74" fillId="0" borderId="0"/>
    <xf numFmtId="0" fontId="51" fillId="0" borderId="0" applyNumberFormat="0" applyFill="0" applyBorder="0" applyAlignment="0" applyProtection="0"/>
    <xf numFmtId="0" fontId="75" fillId="0" borderId="0" applyNumberFormat="0" applyFill="0" applyBorder="0" applyProtection="0">
      <alignment horizontal="left" vertical="center" indent="10"/>
    </xf>
    <xf numFmtId="0" fontId="75" fillId="0" borderId="0" applyNumberFormat="0" applyFill="0" applyBorder="0" applyProtection="0">
      <alignment horizontal="left" vertical="center" indent="10"/>
    </xf>
    <xf numFmtId="0" fontId="52" fillId="0" borderId="28" applyNumberFormat="0" applyFill="0" applyAlignment="0" applyProtection="0"/>
    <xf numFmtId="0" fontId="53" fillId="0" borderId="0" applyNumberFormat="0" applyFill="0" applyBorder="0" applyAlignment="0" applyProtection="0"/>
    <xf numFmtId="0" fontId="1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82" fontId="20" fillId="0" borderId="0" applyNumberFormat="0" applyFont="0" applyBorder="0" applyAlignment="0">
      <alignment horizontal="right" indent="1"/>
    </xf>
    <xf numFmtId="182" fontId="20" fillId="0" borderId="0" applyNumberFormat="0" applyFont="0" applyBorder="0" applyAlignment="0">
      <alignment horizontal="right" indent="1"/>
    </xf>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20" fillId="79" borderId="32"/>
    <xf numFmtId="0" fontId="20" fillId="79" borderId="32"/>
    <xf numFmtId="0" fontId="20" fillId="79" borderId="32"/>
    <xf numFmtId="0" fontId="20" fillId="79" borderId="32"/>
    <xf numFmtId="0" fontId="20" fillId="79" borderId="32"/>
    <xf numFmtId="195" fontId="20" fillId="0" borderId="0">
      <protection locked="0"/>
    </xf>
    <xf numFmtId="195" fontId="20" fillId="0" borderId="33">
      <protection locked="0"/>
    </xf>
    <xf numFmtId="10" fontId="20" fillId="57" borderId="9">
      <alignment horizontal="right"/>
    </xf>
    <xf numFmtId="183" fontId="20" fillId="57" borderId="0"/>
    <xf numFmtId="182" fontId="20" fillId="0" borderId="10"/>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0" fontId="80" fillId="53" borderId="9" applyAlignment="0"/>
    <xf numFmtId="182" fontId="81" fillId="64" borderId="0"/>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82" fillId="60" borderId="9"/>
    <xf numFmtId="15" fontId="20" fillId="0" borderId="0"/>
    <xf numFmtId="15" fontId="20" fillId="0" borderId="0"/>
    <xf numFmtId="15" fontId="20" fillId="0" borderId="0"/>
    <xf numFmtId="15" fontId="20" fillId="0" borderId="0"/>
    <xf numFmtId="15" fontId="20" fillId="0" borderId="0"/>
    <xf numFmtId="15" fontId="20" fillId="0" borderId="0">
      <alignment horizontal="right" indent="1"/>
    </xf>
    <xf numFmtId="17" fontId="20" fillId="0" borderId="0">
      <alignment horizontal="right" indent="1"/>
    </xf>
    <xf numFmtId="194" fontId="20" fillId="0" borderId="0">
      <alignment horizontal="right" indent="1"/>
    </xf>
    <xf numFmtId="0" fontId="78" fillId="0" borderId="0" applyNumberFormat="0" applyFill="0" applyBorder="0" applyAlignment="0" applyProtection="0"/>
    <xf numFmtId="183" fontId="80" fillId="82" borderId="9">
      <alignment horizontal="center"/>
    </xf>
    <xf numFmtId="184" fontId="82" fillId="82" borderId="9"/>
    <xf numFmtId="187" fontId="80" fillId="70" borderId="9" applyNumberFormat="0" applyFont="0" applyBorder="0" applyAlignment="0"/>
    <xf numFmtId="40" fontId="84" fillId="55" borderId="0" applyNumberFormat="0" applyBorder="0" applyAlignment="0" applyProtection="0"/>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85" fillId="39" borderId="0" applyNumberFormat="0" applyBorder="0" applyAlignment="0" applyProtection="0"/>
    <xf numFmtId="0" fontId="85" fillId="39" borderId="0" applyNumberFormat="0" applyBorder="0" applyAlignment="0" applyProtection="0"/>
    <xf numFmtId="0" fontId="86" fillId="0" borderId="0">
      <alignment horizontal="left" vertical="top"/>
    </xf>
    <xf numFmtId="0" fontId="87" fillId="0" borderId="0">
      <alignment horizontal="left" vertical="top"/>
    </xf>
    <xf numFmtId="0" fontId="102" fillId="0" borderId="0"/>
    <xf numFmtId="0" fontId="103" fillId="0" borderId="0"/>
    <xf numFmtId="0" fontId="88" fillId="74" borderId="0" applyNumberFormat="0"/>
    <xf numFmtId="0" fontId="88" fillId="74" borderId="0" applyNumberFormat="0"/>
    <xf numFmtId="0" fontId="57" fillId="53" borderId="0"/>
    <xf numFmtId="0" fontId="57" fillId="53" borderId="0"/>
    <xf numFmtId="0" fontId="89" fillId="0" borderId="34"/>
    <xf numFmtId="0" fontId="89" fillId="0" borderId="34"/>
    <xf numFmtId="0" fontId="89" fillId="0" borderId="35"/>
    <xf numFmtId="0" fontId="89" fillId="0" borderId="35"/>
    <xf numFmtId="0" fontId="89" fillId="0" borderId="35"/>
    <xf numFmtId="0" fontId="89" fillId="0" borderId="35"/>
    <xf numFmtId="0" fontId="90" fillId="0" borderId="0"/>
    <xf numFmtId="0" fontId="91" fillId="0" borderId="0"/>
    <xf numFmtId="164" fontId="20" fillId="6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3" fontId="20" fillId="60" borderId="9">
      <protection locked="0"/>
    </xf>
    <xf numFmtId="0" fontId="92" fillId="0" borderId="0">
      <alignment horizontal="left"/>
    </xf>
    <xf numFmtId="188" fontId="20" fillId="80" borderId="9"/>
    <xf numFmtId="0" fontId="59" fillId="0" borderId="0">
      <alignment horizontal="left" indent="1"/>
    </xf>
    <xf numFmtId="0" fontId="59" fillId="0" borderId="0">
      <alignment horizontal="left" indent="1"/>
    </xf>
    <xf numFmtId="0" fontId="59" fillId="0" borderId="0">
      <alignment horizontal="left" indent="1"/>
    </xf>
    <xf numFmtId="184" fontId="83" fillId="58" borderId="9"/>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36" fillId="0" borderId="0">
      <alignment horizontal="right"/>
    </xf>
    <xf numFmtId="0" fontId="20" fillId="0" borderId="0"/>
    <xf numFmtId="0" fontId="20" fillId="0" borderId="0"/>
    <xf numFmtId="0" fontId="20" fillId="0" borderId="0"/>
    <xf numFmtId="0" fontId="20" fillId="0" borderId="0"/>
    <xf numFmtId="0" fontId="1" fillId="0" borderId="0"/>
    <xf numFmtId="0" fontId="105" fillId="0" borderId="0"/>
    <xf numFmtId="0" fontId="1" fillId="0" borderId="0"/>
    <xf numFmtId="0" fontId="20" fillId="60" borderId="0">
      <alignment horizontal="left" indent="1"/>
      <protection locked="0"/>
    </xf>
    <xf numFmtId="0" fontId="20" fillId="60" borderId="0">
      <alignment horizontal="left" indent="1"/>
      <protection locked="0"/>
    </xf>
    <xf numFmtId="0" fontId="93" fillId="42" borderId="36" applyNumberFormat="0" applyFont="0" applyAlignment="0" applyProtection="0"/>
    <xf numFmtId="0" fontId="93" fillId="42" borderId="36" applyNumberFormat="0" applyFont="0" applyAlignment="0" applyProtection="0"/>
    <xf numFmtId="0" fontId="15" fillId="0" borderId="0">
      <alignment horizontal="left" indent="1"/>
    </xf>
    <xf numFmtId="0" fontId="15" fillId="0" borderId="0">
      <alignment horizontal="left" indent="1"/>
    </xf>
    <xf numFmtId="0" fontId="15" fillId="0" borderId="0">
      <alignment horizontal="left" indent="1"/>
    </xf>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3" fontId="20" fillId="0" borderId="0">
      <alignment horizontal="right" indent="1"/>
    </xf>
    <xf numFmtId="166" fontId="20" fillId="0" borderId="0">
      <alignment horizontal="right" indent="1"/>
    </xf>
    <xf numFmtId="4" fontId="20" fillId="0" borderId="0">
      <alignment horizontal="right" indent="1"/>
    </xf>
    <xf numFmtId="182" fontId="20" fillId="0" borderId="0">
      <alignment horizontal="right" indent="1"/>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2" fontId="93" fillId="57" borderId="38" applyNumberFormat="0">
      <alignment vertical="center"/>
    </xf>
    <xf numFmtId="192" fontId="93" fillId="84" borderId="38" applyNumberFormat="0">
      <alignment vertical="center"/>
    </xf>
    <xf numFmtId="192" fontId="93" fillId="82" borderId="38" applyNumberFormat="0">
      <alignment vertical="center"/>
    </xf>
    <xf numFmtId="192" fontId="93" fillId="80" borderId="38" applyNumberFormat="0">
      <alignment vertical="center"/>
    </xf>
    <xf numFmtId="192" fontId="93" fillId="62" borderId="38" applyNumberFormat="0">
      <alignment vertical="center"/>
    </xf>
    <xf numFmtId="192" fontId="93" fillId="53" borderId="38" applyNumberFormat="0">
      <alignment vertical="center"/>
    </xf>
    <xf numFmtId="192" fontId="93" fillId="65" borderId="38" applyNumberFormat="0">
      <alignment vertical="center"/>
    </xf>
    <xf numFmtId="192" fontId="93" fillId="85" borderId="38" applyNumberFormat="0">
      <alignment vertical="center"/>
    </xf>
    <xf numFmtId="192" fontId="93" fillId="69" borderId="38" applyNumberFormat="0">
      <alignment vertical="center"/>
    </xf>
    <xf numFmtId="192" fontId="93" fillId="86" borderId="38" applyNumberFormat="0">
      <alignment vertical="center"/>
    </xf>
    <xf numFmtId="192" fontId="94" fillId="60" borderId="38">
      <protection locked="0"/>
    </xf>
    <xf numFmtId="192" fontId="94" fillId="58" borderId="38">
      <protection locked="0"/>
    </xf>
    <xf numFmtId="192" fontId="95" fillId="58" borderId="39" applyNumberFormat="0" applyFont="0" applyFill="0" applyAlignment="0" applyProtection="0">
      <protection locked="0"/>
    </xf>
    <xf numFmtId="192" fontId="36" fillId="0" borderId="0" applyNumberFormat="0" applyFill="0">
      <alignment horizontal="left" vertical="top"/>
    </xf>
    <xf numFmtId="192" fontId="36" fillId="0" borderId="0" applyNumberFormat="0" applyFill="0">
      <alignment horizontal="left" vertical="top"/>
    </xf>
    <xf numFmtId="192" fontId="36" fillId="0" borderId="0" applyNumberFormat="0" applyFill="0">
      <alignment horizontal="left" vertical="top"/>
    </xf>
    <xf numFmtId="0" fontId="96" fillId="67" borderId="0" applyNumberFormat="0">
      <alignment horizontal="left" vertical="center" indent="1"/>
    </xf>
    <xf numFmtId="0" fontId="88" fillId="74" borderId="0" applyNumberFormat="0">
      <alignment vertical="center"/>
    </xf>
    <xf numFmtId="0" fontId="57" fillId="53" borderId="0">
      <alignment vertical="center"/>
    </xf>
    <xf numFmtId="0" fontId="89" fillId="0" borderId="34">
      <alignment vertical="center"/>
    </xf>
    <xf numFmtId="190" fontId="20" fillId="57" borderId="0">
      <alignment horizontal="right"/>
    </xf>
    <xf numFmtId="0" fontId="50" fillId="81" borderId="23" applyNumberFormat="0" applyAlignment="0" applyProtection="0"/>
    <xf numFmtId="0" fontId="50" fillId="81" borderId="23" applyNumberFormat="0" applyAlignment="0" applyProtection="0"/>
    <xf numFmtId="191" fontId="30" fillId="81" borderId="0">
      <alignment horizontal="right"/>
    </xf>
    <xf numFmtId="0" fontId="97" fillId="87" borderId="0">
      <alignment horizontal="center"/>
    </xf>
    <xf numFmtId="0" fontId="81" fillId="88" borderId="0"/>
    <xf numFmtId="0" fontId="98" fillId="81" borderId="0" applyBorder="0">
      <alignment horizontal="centerContinuous"/>
    </xf>
    <xf numFmtId="0" fontId="99" fillId="88" borderId="0" applyBorder="0">
      <alignment horizontal="centerContinuous"/>
    </xf>
    <xf numFmtId="9" fontId="20" fillId="0" borderId="0">
      <alignment horizontal="right" indent="1"/>
    </xf>
    <xf numFmtId="164" fontId="20" fillId="0" borderId="0">
      <alignment horizontal="right" indent="1"/>
    </xf>
    <xf numFmtId="10" fontId="20" fillId="0" borderId="0">
      <alignment horizontal="right" indent="1"/>
    </xf>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53" borderId="0">
      <protection locked="0"/>
    </xf>
    <xf numFmtId="0" fontId="20" fillId="53" borderId="0">
      <protection locked="0"/>
    </xf>
    <xf numFmtId="0" fontId="20" fillId="53" borderId="0">
      <protection locked="0"/>
    </xf>
    <xf numFmtId="0" fontId="20" fillId="53" borderId="0">
      <protection locked="0"/>
    </xf>
    <xf numFmtId="0" fontId="20" fillId="53" borderId="0">
      <protection locked="0"/>
    </xf>
    <xf numFmtId="0" fontId="57" fillId="0" borderId="0">
      <alignment horizontal="left" indent="1"/>
    </xf>
    <xf numFmtId="0" fontId="77" fillId="0" borderId="0">
      <alignment horizontal="left" indent="1"/>
    </xf>
    <xf numFmtId="0" fontId="59" fillId="53" borderId="9">
      <alignment horizontal="center" vertical="center" wrapText="1"/>
    </xf>
    <xf numFmtId="0" fontId="100" fillId="89" borderId="29">
      <alignment vertical="top" wrapText="1"/>
    </xf>
    <xf numFmtId="164" fontId="20" fillId="72" borderId="9"/>
    <xf numFmtId="0" fontId="27" fillId="0" borderId="0">
      <alignment horizontal="left"/>
    </xf>
    <xf numFmtId="41" fontId="20" fillId="0" borderId="0" applyFont="0" applyFill="0" applyBorder="0" applyAlignment="0" applyProtection="0"/>
    <xf numFmtId="41" fontId="20" fillId="0" borderId="0" applyFont="0" applyFill="0" applyBorder="0" applyAlignment="0" applyProtection="0"/>
    <xf numFmtId="0" fontId="22" fillId="0" borderId="0">
      <alignment vertical="top"/>
    </xf>
    <xf numFmtId="191" fontId="80" fillId="80" borderId="40"/>
    <xf numFmtId="0" fontId="80" fillId="60" borderId="9"/>
    <xf numFmtId="0" fontId="101" fillId="0" borderId="0" applyNumberFormat="0" applyFill="0" applyBorder="0" applyAlignment="0" applyProtection="0"/>
    <xf numFmtId="0" fontId="101" fillId="0" borderId="0" applyNumberFormat="0" applyFill="0" applyBorder="0" applyAlignment="0" applyProtection="0"/>
    <xf numFmtId="0" fontId="52" fillId="0" borderId="41" applyNumberFormat="0" applyFill="0" applyAlignment="0" applyProtection="0"/>
    <xf numFmtId="0" fontId="52" fillId="0" borderId="41" applyNumberFormat="0" applyFill="0" applyAlignment="0" applyProtection="0"/>
    <xf numFmtId="184" fontId="80" fillId="80" borderId="9"/>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9"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9"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7" fillId="0" borderId="0"/>
    <xf numFmtId="0" fontId="20" fillId="0" borderId="0"/>
    <xf numFmtId="0" fontId="20" fillId="0" borderId="0"/>
    <xf numFmtId="0" fontId="104" fillId="0" borderId="0"/>
    <xf numFmtId="0" fontId="107" fillId="0" borderId="0"/>
    <xf numFmtId="0" fontId="107"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9" fillId="0" borderId="0"/>
    <xf numFmtId="0" fontId="104" fillId="0" borderId="0"/>
    <xf numFmtId="0" fontId="104"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04" fillId="0" borderId="0"/>
    <xf numFmtId="180" fontId="20" fillId="0" borderId="0"/>
    <xf numFmtId="180" fontId="20" fillId="0" borderId="0"/>
    <xf numFmtId="180" fontId="20" fillId="0" borderId="0"/>
    <xf numFmtId="180" fontId="20"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19"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108" fillId="11" borderId="0" applyNumberFormat="0" applyBorder="0" applyAlignment="0" applyProtection="0"/>
    <xf numFmtId="0" fontId="38" fillId="39" borderId="0" applyNumberFormat="0" applyBorder="0" applyAlignment="0" applyProtection="0"/>
    <xf numFmtId="0" fontId="108" fillId="15" borderId="0" applyNumberFormat="0" applyBorder="0" applyAlignment="0" applyProtection="0"/>
    <xf numFmtId="0" fontId="38" fillId="40" borderId="0" applyNumberFormat="0" applyBorder="0" applyAlignment="0" applyProtection="0"/>
    <xf numFmtId="0" fontId="108" fillId="19" borderId="0" applyNumberFormat="0" applyBorder="0" applyAlignment="0" applyProtection="0"/>
    <xf numFmtId="0" fontId="38" fillId="43" borderId="0" applyNumberFormat="0" applyBorder="0" applyAlignment="0" applyProtection="0"/>
    <xf numFmtId="0" fontId="108" fillId="23" borderId="0" applyNumberFormat="0" applyBorder="0" applyAlignment="0" applyProtection="0"/>
    <xf numFmtId="0" fontId="38" fillId="45" borderId="0" applyNumberFormat="0" applyBorder="0" applyAlignment="0" applyProtection="0"/>
    <xf numFmtId="0" fontId="108" fillId="27" borderId="0" applyNumberFormat="0" applyBorder="0" applyAlignment="0" applyProtection="0"/>
    <xf numFmtId="0" fontId="38" fillId="46" borderId="0" applyNumberFormat="0" applyBorder="0" applyAlignment="0" applyProtection="0"/>
    <xf numFmtId="0" fontId="108" fillId="31" borderId="0" applyNumberFormat="0" applyBorder="0" applyAlignment="0" applyProtection="0"/>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08" fillId="8" borderId="0" applyNumberFormat="0" applyBorder="0" applyAlignment="0" applyProtection="0"/>
    <xf numFmtId="0" fontId="38" fillId="48" borderId="0" applyNumberFormat="0" applyBorder="0" applyAlignment="0" applyProtection="0"/>
    <xf numFmtId="0" fontId="108" fillId="12" borderId="0" applyNumberFormat="0" applyBorder="0" applyAlignment="0" applyProtection="0"/>
    <xf numFmtId="0" fontId="38" fillId="49" borderId="0" applyNumberFormat="0" applyBorder="0" applyAlignment="0" applyProtection="0"/>
    <xf numFmtId="0" fontId="108" fillId="16" borderId="0" applyNumberFormat="0" applyBorder="0" applyAlignment="0" applyProtection="0"/>
    <xf numFmtId="0" fontId="38" fillId="43" borderId="0" applyNumberFormat="0" applyBorder="0" applyAlignment="0" applyProtection="0"/>
    <xf numFmtId="0" fontId="108" fillId="20" borderId="0" applyNumberFormat="0" applyBorder="0" applyAlignment="0" applyProtection="0"/>
    <xf numFmtId="0" fontId="38" fillId="45" borderId="0" applyNumberFormat="0" applyBorder="0" applyAlignment="0" applyProtection="0"/>
    <xf numFmtId="0" fontId="108" fillId="24" borderId="0" applyNumberFormat="0" applyBorder="0" applyAlignment="0" applyProtection="0"/>
    <xf numFmtId="0" fontId="38" fillId="50" borderId="0" applyNumberFormat="0" applyBorder="0" applyAlignment="0" applyProtection="0"/>
    <xf numFmtId="0" fontId="108" fillId="28"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0" fontId="109" fillId="3" borderId="0" applyNumberFormat="0" applyBorder="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1" fillId="52" borderId="13" applyNumberFormat="0" applyAlignment="0" applyProtection="0"/>
    <xf numFmtId="0" fontId="110" fillId="6" borderId="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6" fillId="0" borderId="0" applyFont="0" applyFill="0" applyBorder="0" applyAlignment="0" applyProtection="0"/>
    <xf numFmtId="43" fontId="104"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4" fillId="0" borderId="0" applyFont="0" applyFill="0" applyBorder="0" applyAlignment="0" applyProtection="0"/>
    <xf numFmtId="44" fontId="18" fillId="0" borderId="0" applyFon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43" fillId="34" borderId="0" applyNumberFormat="0" applyBorder="0" applyAlignment="0" applyProtection="0"/>
    <xf numFmtId="179" fontId="20" fillId="0" borderId="0" applyFon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43" fillId="34" borderId="0" applyNumberFormat="0" applyBorder="0" applyAlignment="0" applyProtection="0"/>
    <xf numFmtId="0" fontId="112" fillId="2" borderId="0" applyNumberFormat="0" applyBorder="0" applyAlignment="0" applyProtection="0"/>
    <xf numFmtId="0" fontId="44" fillId="0" borderId="16" applyNumberFormat="0" applyFill="0" applyAlignment="0" applyProtection="0"/>
    <xf numFmtId="0" fontId="113" fillId="0" borderId="30" applyNumberFormat="0" applyFill="0" applyAlignment="0" applyProtection="0"/>
    <xf numFmtId="0" fontId="45" fillId="0" borderId="17" applyNumberFormat="0" applyFill="0" applyAlignment="0" applyProtection="0"/>
    <xf numFmtId="0" fontId="114" fillId="0" borderId="31"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115" fillId="0" borderId="1"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8" fillId="0" borderId="21" applyNumberFormat="0" applyFill="0" applyAlignment="0" applyProtection="0"/>
    <xf numFmtId="0" fontId="41" fillId="52" borderId="13" applyNumberFormat="0" applyAlignment="0" applyProtection="0"/>
    <xf numFmtId="0" fontId="48" fillId="0" borderId="21" applyNumberFormat="0" applyFill="0" applyAlignment="0" applyProtection="0"/>
    <xf numFmtId="0" fontId="121" fillId="0" borderId="3"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9" fillId="44" borderId="0" applyNumberFormat="0" applyBorder="0" applyAlignment="0" applyProtection="0"/>
    <xf numFmtId="0" fontId="122" fillId="4" borderId="0" applyNumberFormat="0" applyBorder="0" applyAlignment="0" applyProtection="0"/>
    <xf numFmtId="0" fontId="49" fillId="4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104"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04"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7" fontId="19" fillId="0" borderId="0"/>
    <xf numFmtId="197" fontId="19" fillId="0" borderId="0"/>
    <xf numFmtId="0" fontId="104" fillId="0" borderId="0"/>
    <xf numFmtId="0" fontId="104"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9" fillId="0" borderId="0"/>
    <xf numFmtId="197" fontId="19" fillId="0" borderId="0"/>
    <xf numFmtId="0" fontId="104" fillId="0" borderId="0"/>
    <xf numFmtId="0" fontId="1" fillId="0" borderId="0"/>
    <xf numFmtId="0" fontId="19" fillId="0" borderId="0"/>
    <xf numFmtId="196" fontId="19" fillId="0" borderId="0"/>
    <xf numFmtId="0" fontId="18"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0" fontId="123" fillId="0" borderId="0"/>
    <xf numFmtId="0" fontId="20" fillId="0" borderId="0"/>
    <xf numFmtId="0" fontId="1" fillId="0" borderId="0"/>
    <xf numFmtId="0" fontId="18" fillId="0" borderId="0"/>
    <xf numFmtId="0" fontId="20" fillId="0" borderId="0"/>
    <xf numFmtId="196" fontId="20" fillId="0" borderId="0"/>
    <xf numFmtId="0" fontId="1" fillId="0" borderId="0"/>
    <xf numFmtId="0" fontId="1" fillId="0" borderId="0"/>
    <xf numFmtId="0" fontId="1" fillId="0" borderId="0"/>
    <xf numFmtId="0" fontId="123" fillId="0" borderId="0"/>
    <xf numFmtId="196" fontId="20" fillId="0" borderId="0"/>
    <xf numFmtId="196" fontId="20" fillId="0" borderId="0"/>
    <xf numFmtId="196" fontId="20" fillId="0" borderId="0"/>
    <xf numFmtId="196" fontId="20" fillId="0" borderId="0"/>
    <xf numFmtId="0" fontId="19"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20" fillId="0" borderId="0"/>
    <xf numFmtId="197" fontId="20" fillId="0" borderId="0"/>
    <xf numFmtId="0" fontId="19" fillId="0" borderId="0"/>
    <xf numFmtId="0" fontId="104" fillId="0" borderId="0"/>
    <xf numFmtId="0" fontId="104" fillId="0" borderId="0"/>
    <xf numFmtId="0" fontId="104" fillId="0" borderId="0"/>
    <xf numFmtId="0" fontId="104" fillId="0" borderId="0"/>
    <xf numFmtId="0" fontId="104" fillId="0" borderId="0"/>
    <xf numFmtId="0" fontId="106"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30" fillId="0" borderId="0"/>
    <xf numFmtId="0" fontId="104" fillId="0" borderId="0"/>
    <xf numFmtId="196" fontId="20" fillId="0" borderId="0"/>
    <xf numFmtId="196" fontId="20" fillId="0" borderId="0"/>
    <xf numFmtId="0" fontId="104" fillId="0" borderId="0"/>
    <xf numFmtId="0" fontId="104" fillId="0" borderId="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20" fillId="0" borderId="0"/>
    <xf numFmtId="0" fontId="20"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104" fillId="0" borderId="0"/>
    <xf numFmtId="0" fontId="18" fillId="0" borderId="0"/>
    <xf numFmtId="0" fontId="104" fillId="0" borderId="0"/>
    <xf numFmtId="0" fontId="104"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196"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2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124" fillId="5" borderId="2"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126" fillId="0" borderId="6" applyNumberFormat="0" applyFill="0" applyAlignment="0" applyProtection="0"/>
    <xf numFmtId="0" fontId="51" fillId="0" borderId="0" applyNumberFormat="0" applyFill="0" applyBorder="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39" fillId="33" borderId="0" applyNumberFormat="0" applyBorder="0" applyAlignment="0" applyProtection="0"/>
    <xf numFmtId="43" fontId="1" fillId="0" borderId="0" applyFont="0" applyFill="0" applyBorder="0" applyAlignment="0" applyProtection="0"/>
    <xf numFmtId="0" fontId="1" fillId="0" borderId="0"/>
    <xf numFmtId="9" fontId="128" fillId="0" borderId="0">
      <alignment horizontal="right"/>
    </xf>
    <xf numFmtId="0" fontId="20" fillId="0" borderId="0"/>
    <xf numFmtId="0" fontId="93" fillId="0" borderId="0"/>
    <xf numFmtId="0" fontId="104" fillId="0" borderId="0"/>
    <xf numFmtId="0" fontId="20" fillId="0" borderId="0"/>
    <xf numFmtId="0" fontId="93"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199" fontId="129" fillId="0" borderId="0">
      <alignment horizontal="right" vertical="top"/>
    </xf>
    <xf numFmtId="0" fontId="130" fillId="55"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3" borderId="0" applyNumberFormat="0" applyBorder="0" applyAlignment="0" applyProtection="0"/>
    <xf numFmtId="0" fontId="19" fillId="91"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30" fillId="5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94"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39"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95"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9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22" fillId="0" borderId="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45"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48"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38" fillId="49"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106" borderId="0" applyNumberFormat="0" applyBorder="0" applyAlignment="0" applyProtection="0"/>
    <xf numFmtId="0" fontId="38" fillId="50"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22" fillId="0" borderId="0"/>
    <xf numFmtId="1" fontId="20" fillId="107" borderId="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200" fontId="22" fillId="0" borderId="0"/>
    <xf numFmtId="201" fontId="22" fillId="0" borderId="0"/>
    <xf numFmtId="202" fontId="22" fillId="0" borderId="0"/>
    <xf numFmtId="200"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3" fontId="22" fillId="0" borderId="0"/>
    <xf numFmtId="204" fontId="22" fillId="0" borderId="0"/>
    <xf numFmtId="205" fontId="22" fillId="0" borderId="0"/>
    <xf numFmtId="203"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6" fontId="22" fillId="0" borderId="0">
      <alignment horizontal="right"/>
      <protection locked="0"/>
    </xf>
    <xf numFmtId="207" fontId="22" fillId="0" borderId="0">
      <alignment horizontal="right"/>
      <protection locked="0"/>
    </xf>
    <xf numFmtId="208" fontId="22" fillId="0" borderId="0"/>
    <xf numFmtId="209" fontId="22" fillId="0" borderId="0"/>
    <xf numFmtId="210" fontId="22" fillId="0" borderId="0"/>
    <xf numFmtId="208"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11" fillId="6" borderId="4" applyNumberFormat="0" applyAlignment="0" applyProtection="0"/>
    <xf numFmtId="0" fontId="133" fillId="108" borderId="4"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181" fontId="14" fillId="0" borderId="0" applyFont="0" applyFill="0" applyBorder="0" applyAlignment="0" applyProtection="0"/>
    <xf numFmtId="44" fontId="1" fillId="0" borderId="0" applyFont="0" applyFill="0" applyBorder="0" applyAlignment="0" applyProtection="0"/>
    <xf numFmtId="44" fontId="10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9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9" fontId="134" fillId="98" borderId="0">
      <alignment vertical="center"/>
    </xf>
    <xf numFmtId="49" fontId="134" fillId="99" borderId="0">
      <alignment vertical="center"/>
    </xf>
    <xf numFmtId="200"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43">
      <protection locked="0"/>
    </xf>
    <xf numFmtId="203"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43">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49" fontId="22" fillId="80" borderId="43">
      <alignment horizontal="left" vertical="top" wrapText="1"/>
      <protection locked="0"/>
    </xf>
    <xf numFmtId="49" fontId="22" fillId="80" borderId="43">
      <alignment horizontal="left" vertical="top" wrapText="1"/>
      <protection locked="0"/>
    </xf>
    <xf numFmtId="49" fontId="22" fillId="80" borderId="43">
      <alignment horizontal="left" vertical="top" wrapText="1"/>
      <protection locked="0"/>
    </xf>
    <xf numFmtId="208"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43">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211" fontId="22" fillId="60" borderId="43">
      <alignment horizontal="left" indent="1"/>
      <protection locked="0"/>
    </xf>
    <xf numFmtId="211" fontId="22" fillId="60" borderId="43">
      <alignment horizontal="left" indent="1"/>
      <protection locked="0"/>
    </xf>
    <xf numFmtId="211" fontId="22" fillId="60" borderId="43">
      <alignment horizontal="left" indent="1"/>
      <protection locked="0"/>
    </xf>
    <xf numFmtId="2" fontId="135" fillId="60" borderId="9">
      <protection locked="0"/>
    </xf>
    <xf numFmtId="16" fontId="30" fillId="0" borderId="0" applyFont="0" applyFill="0" applyBorder="0" applyAlignment="0" applyProtection="0"/>
    <xf numFmtId="15" fontId="30" fillId="0" borderId="0" applyFont="0" applyFill="0" applyBorder="0" applyAlignment="0" applyProtection="0"/>
    <xf numFmtId="17" fontId="30" fillId="0" borderId="0" applyFont="0" applyFill="0" applyBorder="0" applyAlignment="0" applyProtection="0"/>
    <xf numFmtId="212" fontId="15" fillId="78" borderId="0">
      <alignment horizontal="right"/>
    </xf>
    <xf numFmtId="15" fontId="136" fillId="109" borderId="0" applyNumberFormat="0" applyFont="0" applyBorder="0" applyAlignment="0" applyProtection="0"/>
    <xf numFmtId="199" fontId="137" fillId="74" borderId="0">
      <alignment horizontal="right"/>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4" fillId="110" borderId="0">
      <alignment horizontal="right" vertical="center"/>
    </xf>
    <xf numFmtId="0" fontId="134" fillId="89" borderId="0">
      <alignment horizontal="right" vertical="center"/>
    </xf>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80" borderId="0" applyNumberFormat="0" applyBorder="0" applyAlignment="0" applyProtection="0"/>
    <xf numFmtId="0" fontId="85" fillId="111"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3" borderId="0">
      <alignment vertical="center"/>
    </xf>
    <xf numFmtId="0" fontId="138" fillId="113" borderId="0">
      <alignment vertical="center"/>
    </xf>
    <xf numFmtId="0" fontId="138" fillId="113" borderId="0">
      <alignment vertical="center"/>
    </xf>
    <xf numFmtId="0" fontId="139" fillId="0" borderId="44" applyNumberFormat="0" applyFill="0" applyAlignment="0" applyProtection="0"/>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40" fillId="53" borderId="0">
      <alignment vertical="center"/>
    </xf>
    <xf numFmtId="0" fontId="140" fillId="53" borderId="0">
      <alignment vertical="center"/>
    </xf>
    <xf numFmtId="0" fontId="141" fillId="0" borderId="45" applyNumberFormat="0" applyFill="0" applyAlignment="0" applyProtection="0"/>
    <xf numFmtId="0" fontId="140" fillId="53" borderId="0">
      <alignment vertical="center"/>
    </xf>
    <xf numFmtId="0" fontId="140" fillId="53" borderId="0">
      <alignment vertical="center"/>
    </xf>
    <xf numFmtId="0" fontId="140" fillId="53" borderId="0">
      <alignment vertical="center"/>
    </xf>
    <xf numFmtId="0" fontId="140" fillId="53" borderId="0">
      <alignment vertical="center"/>
    </xf>
    <xf numFmtId="0" fontId="142" fillId="0" borderId="0"/>
    <xf numFmtId="0" fontId="142" fillId="0" borderId="0"/>
    <xf numFmtId="0" fontId="143" fillId="0" borderId="11" applyNumberFormat="0" applyFill="0" applyAlignment="0" applyProtection="0"/>
    <xf numFmtId="0" fontId="142" fillId="0" borderId="0"/>
    <xf numFmtId="0" fontId="142" fillId="0" borderId="0"/>
    <xf numFmtId="0" fontId="142" fillId="0" borderId="0"/>
    <xf numFmtId="0" fontId="142" fillId="0" borderId="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3" fillId="0" borderId="0" applyNumberFormat="0" applyFill="0" applyBorder="0" applyAlignment="0" applyProtection="0"/>
    <xf numFmtId="1" fontId="20" fillId="60" borderId="0"/>
    <xf numFmtId="1" fontId="20" fillId="60" borderId="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47" fillId="97" borderId="12" applyNumberFormat="0" applyAlignment="0" applyProtection="0"/>
    <xf numFmtId="1" fontId="20" fillId="60" borderId="0"/>
    <xf numFmtId="1" fontId="20" fillId="60" borderId="0"/>
    <xf numFmtId="1" fontId="20" fillId="60" borderId="0"/>
    <xf numFmtId="1" fontId="20" fillId="60" borderId="0"/>
    <xf numFmtId="0" fontId="151" fillId="0" borderId="0">
      <alignment horizontal="left" indent="1"/>
    </xf>
    <xf numFmtId="0" fontId="152" fillId="0" borderId="0"/>
    <xf numFmtId="0" fontId="153" fillId="0" borderId="0">
      <alignment horizontal="center"/>
    </xf>
    <xf numFmtId="0" fontId="25" fillId="0" borderId="20" applyProtection="0">
      <alignment horizontal="center"/>
      <protection locked="0"/>
    </xf>
    <xf numFmtId="0" fontId="154" fillId="0" borderId="46" applyNumberFormat="0" applyFill="0" applyAlignment="0" applyProtection="0"/>
    <xf numFmtId="0" fontId="154" fillId="0" borderId="46"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34" fillId="114" borderId="0">
      <alignment horizontal="right" vertical="center"/>
    </xf>
    <xf numFmtId="0" fontId="134" fillId="90" borderId="0">
      <alignment horizontal="right" vertical="center"/>
    </xf>
    <xf numFmtId="49" fontId="155" fillId="98" borderId="0">
      <alignment horizontal="centerContinuous" vertical="center"/>
    </xf>
    <xf numFmtId="49" fontId="155" fillId="99" borderId="0">
      <alignment horizontal="centerContinuous" vertical="center"/>
    </xf>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20" fillId="0" borderId="0" applyNumberFormat="0" applyFont="0" applyFill="0" applyBorder="0" applyAlignment="0" applyProtection="0"/>
    <xf numFmtId="0" fontId="1" fillId="0" borderId="0"/>
    <xf numFmtId="0" fontId="18" fillId="0" borderId="0"/>
    <xf numFmtId="0" fontId="18" fillId="0" borderId="0"/>
    <xf numFmtId="0" fontId="20" fillId="0" borderId="0" applyNumberFormat="0" applyFont="0" applyFill="0" applyBorder="0" applyAlignment="0" applyProtection="0"/>
    <xf numFmtId="0" fontId="105" fillId="0" borderId="0"/>
    <xf numFmtId="214" fontId="30" fillId="0" borderId="0" applyFont="0" applyFill="0" applyBorder="0" applyAlignment="0" applyProtection="0"/>
    <xf numFmtId="215" fontId="30" fillId="0" borderId="0" applyFont="0" applyFill="0" applyBorder="0" applyAlignment="0" applyProtection="0"/>
    <xf numFmtId="216" fontId="30" fillId="0" borderId="0" applyFont="0" applyFill="0" applyBorder="0" applyAlignment="0" applyProtection="0"/>
    <xf numFmtId="217" fontId="30" fillId="0" borderId="0" applyFont="0" applyFill="0" applyBorder="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156" fillId="78" borderId="0">
      <alignment horizontal="left" vertical="top" wrapText="1"/>
    </xf>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9" fontId="1" fillId="0" borderId="0" applyFont="0" applyFill="0" applyBorder="0" applyAlignment="0" applyProtection="0"/>
    <xf numFmtId="9" fontId="30" fillId="0" borderId="0" applyFont="0" applyFill="0" applyBorder="0" applyAlignment="0" applyProtection="0"/>
    <xf numFmtId="200" fontId="157" fillId="0" borderId="0">
      <alignment horizontal="right"/>
    </xf>
    <xf numFmtId="199" fontId="158" fillId="74" borderId="0">
      <alignment horizontal="right"/>
    </xf>
    <xf numFmtId="0" fontId="134" fillId="98" borderId="0">
      <alignment horizontal="right" vertical="center"/>
    </xf>
    <xf numFmtId="0" fontId="134" fillId="99" borderId="0">
      <alignment horizontal="right" vertical="center"/>
    </xf>
    <xf numFmtId="0" fontId="159" fillId="0" borderId="47" applyFill="0" applyProtection="0">
      <alignment horizontal="right" wrapText="1"/>
    </xf>
    <xf numFmtId="0" fontId="159" fillId="0" borderId="0" applyFill="0" applyProtection="0">
      <alignment wrapText="1"/>
    </xf>
    <xf numFmtId="0" fontId="31" fillId="57" borderId="8">
      <alignment horizontal="center"/>
    </xf>
    <xf numFmtId="0" fontId="31" fillId="57" borderId="8">
      <alignment horizontal="center"/>
    </xf>
    <xf numFmtId="0" fontId="31" fillId="57" borderId="8">
      <alignment horizontal="center"/>
    </xf>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198" fontId="20" fillId="0" borderId="0" applyAlignment="0">
      <alignment horizontal="left"/>
    </xf>
    <xf numFmtId="0" fontId="1" fillId="0" borderId="0"/>
    <xf numFmtId="49" fontId="30" fillId="0" borderId="0" applyFont="0" applyFill="0" applyBorder="0" applyAlignment="0" applyProtection="0"/>
    <xf numFmtId="0" fontId="1" fillId="0" borderId="0"/>
    <xf numFmtId="0" fontId="34" fillId="78" borderId="0"/>
    <xf numFmtId="0" fontId="34" fillId="74" borderId="0"/>
    <xf numFmtId="0" fontId="1" fillId="0" borderId="0"/>
    <xf numFmtId="0" fontId="15" fillId="78" borderId="0">
      <alignment horizontal="left"/>
    </xf>
    <xf numFmtId="0" fontId="15" fillId="74" borderId="0">
      <alignment horizontal="left"/>
    </xf>
    <xf numFmtId="0" fontId="1" fillId="0" borderId="0"/>
    <xf numFmtId="0" fontId="15" fillId="78" borderId="0">
      <alignment horizontal="left" indent="1"/>
    </xf>
    <xf numFmtId="0" fontId="15" fillId="74" borderId="0">
      <alignment horizontal="left" indent="1"/>
    </xf>
    <xf numFmtId="0" fontId="1" fillId="0" borderId="0"/>
    <xf numFmtId="0" fontId="15" fillId="78" borderId="0">
      <alignment horizontal="left" vertical="center" indent="2"/>
    </xf>
    <xf numFmtId="0" fontId="15" fillId="74" borderId="0">
      <alignment horizontal="left" vertical="center" indent="2"/>
    </xf>
    <xf numFmtId="0" fontId="1" fillId="0" borderId="0"/>
    <xf numFmtId="49" fontId="160" fillId="0" borderId="0" applyFill="0" applyBorder="0" applyProtection="0">
      <alignment horizontal="center" vertical="top"/>
    </xf>
    <xf numFmtId="0" fontId="1" fillId="0" borderId="0"/>
    <xf numFmtId="0" fontId="29" fillId="0" borderId="0">
      <alignment horizontal="center"/>
    </xf>
    <xf numFmtId="0" fontId="1" fillId="0" borderId="0"/>
    <xf numFmtId="15" fontId="29" fillId="0" borderId="0">
      <alignment horizontal="center"/>
    </xf>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49" fontId="70" fillId="74" borderId="0"/>
    <xf numFmtId="0" fontId="1" fillId="0" borderId="0"/>
    <xf numFmtId="0" fontId="163" fillId="0" borderId="0" applyNumberFormat="0" applyFill="0" applyBorder="0" applyAlignment="0" applyProtection="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38" fillId="107" borderId="48"/>
    <xf numFmtId="0" fontId="1" fillId="0" borderId="0"/>
    <xf numFmtId="0" fontId="88" fillId="107" borderId="49">
      <alignment horizontal="left"/>
    </xf>
    <xf numFmtId="0" fontId="1" fillId="0" borderId="0"/>
    <xf numFmtId="22" fontId="22" fillId="53" borderId="49">
      <alignment vertical="center"/>
    </xf>
    <xf numFmtId="0" fontId="1" fillId="0" borderId="0"/>
    <xf numFmtId="0" fontId="22" fillId="53" borderId="49">
      <alignment horizontal="left" vertical="top" wrapText="1"/>
    </xf>
    <xf numFmtId="0" fontId="1" fillId="0" borderId="0"/>
    <xf numFmtId="0" fontId="22" fillId="53" borderId="50"/>
    <xf numFmtId="0" fontId="1" fillId="0" borderId="0"/>
    <xf numFmtId="0" fontId="22" fillId="53" borderId="5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4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49" fontId="160" fillId="40" borderId="0" applyNumberFormat="0" applyFont="0" applyBorder="0" applyAlignment="0" applyProtection="0">
      <alignment horizontal="center"/>
    </xf>
    <xf numFmtId="49" fontId="160" fillId="70" borderId="0" applyNumberFormat="0" applyFont="0" applyBorder="0" applyAlignment="0" applyProtection="0">
      <alignment horizontal="center"/>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218" fontId="136" fillId="0" borderId="0" applyFont="0" applyFill="0" applyBorder="0" applyAlignment="0" applyProtection="0"/>
    <xf numFmtId="0" fontId="1" fillId="0" borderId="0"/>
    <xf numFmtId="0" fontId="20" fillId="80" borderId="9">
      <protection locked="0"/>
    </xf>
    <xf numFmtId="195" fontId="20" fillId="0" borderId="33">
      <protection locked="0"/>
    </xf>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4" fontId="80" fillId="80" borderId="9"/>
    <xf numFmtId="184" fontId="80" fillId="80" borderId="9"/>
    <xf numFmtId="184" fontId="80" fillId="80" borderId="9"/>
    <xf numFmtId="184" fontId="80" fillId="80" borderId="9"/>
    <xf numFmtId="184" fontId="80" fillId="80" borderId="9"/>
    <xf numFmtId="183" fontId="82" fillId="60" borderId="9"/>
    <xf numFmtId="184" fontId="80" fillId="80" borderId="9"/>
    <xf numFmtId="195" fontId="20" fillId="0" borderId="33">
      <protection locked="0"/>
    </xf>
    <xf numFmtId="187" fontId="80" fillId="70" borderId="9" applyNumberFormat="0" applyFont="0" applyBorder="0" applyAlignment="0"/>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4" fontId="83" fillId="58" borderId="9"/>
    <xf numFmtId="0" fontId="93" fillId="42" borderId="36" applyNumberFormat="0" applyFont="0" applyAlignment="0" applyProtection="0"/>
    <xf numFmtId="0" fontId="93" fillId="42" borderId="36" applyNumberFormat="0" applyFont="0" applyAlignment="0" applyProtection="0"/>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0" fontId="50" fillId="81" borderId="23" applyNumberFormat="0" applyAlignment="0" applyProtection="0"/>
    <xf numFmtId="0" fontId="50" fillId="81" borderId="23" applyNumberFormat="0" applyAlignment="0" applyProtection="0"/>
    <xf numFmtId="0" fontId="59" fillId="53" borderId="9">
      <alignment horizontal="center" vertical="center" wrapText="1"/>
    </xf>
    <xf numFmtId="0" fontId="52" fillId="0" borderId="41" applyNumberFormat="0" applyFill="0" applyAlignment="0" applyProtection="0"/>
    <xf numFmtId="0" fontId="52" fillId="0" borderId="41" applyNumberFormat="0" applyFill="0" applyAlignment="0" applyProtection="0"/>
    <xf numFmtId="0" fontId="1" fillId="0" borderId="0"/>
    <xf numFmtId="0" fontId="1" fillId="0" borderId="0"/>
    <xf numFmtId="0" fontId="18" fillId="0" borderId="0"/>
    <xf numFmtId="0" fontId="93" fillId="42" borderId="36" applyNumberFormat="0" applyFont="0" applyAlignment="0" applyProtection="0"/>
    <xf numFmtId="0" fontId="93" fillId="42" borderId="36" applyNumberFormat="0" applyFont="0" applyAlignment="0" applyProtection="0"/>
    <xf numFmtId="0" fontId="50" fillId="81" borderId="23" applyNumberFormat="0" applyAlignment="0" applyProtection="0"/>
    <xf numFmtId="0" fontId="50" fillId="81" borderId="23" applyNumberFormat="0" applyAlignment="0" applyProtection="0"/>
    <xf numFmtId="0" fontId="52" fillId="0" borderId="41" applyNumberFormat="0" applyFill="0" applyAlignment="0" applyProtection="0"/>
    <xf numFmtId="0" fontId="52" fillId="0" borderId="41" applyNumberFormat="0" applyFill="0" applyAlignment="0" applyProtection="0"/>
    <xf numFmtId="0" fontId="20" fillId="80" borderId="9">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84" fontId="80" fillId="80" borderId="9"/>
    <xf numFmtId="184" fontId="80" fillId="80" borderId="9"/>
    <xf numFmtId="184" fontId="80" fillId="80" borderId="9"/>
    <xf numFmtId="184" fontId="80" fillId="80" borderId="9"/>
    <xf numFmtId="184" fontId="80" fillId="80" borderId="9"/>
    <xf numFmtId="184" fontId="80" fillId="80" borderId="9"/>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80" borderId="9">
      <protection locked="0"/>
    </xf>
    <xf numFmtId="0" fontId="20" fillId="80" borderId="9">
      <protection locked="0"/>
    </xf>
    <xf numFmtId="184" fontId="80" fillId="80" borderId="9"/>
    <xf numFmtId="184" fontId="80" fillId="80" borderId="9"/>
    <xf numFmtId="184" fontId="80" fillId="80" borderId="9"/>
    <xf numFmtId="184" fontId="80" fillId="80" borderId="9"/>
    <xf numFmtId="184" fontId="80" fillId="80" borderId="9"/>
    <xf numFmtId="184" fontId="80" fillId="80" borderId="9"/>
    <xf numFmtId="41"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8" fillId="0" borderId="0"/>
    <xf numFmtId="0" fontId="1" fillId="0" borderId="0"/>
    <xf numFmtId="0" fontId="1" fillId="0" borderId="0"/>
    <xf numFmtId="0" fontId="18" fillId="0" borderId="0"/>
    <xf numFmtId="184" fontId="80" fillId="80" borderId="9"/>
    <xf numFmtId="184" fontId="80" fillId="80" borderId="9"/>
    <xf numFmtId="184" fontId="80" fillId="80" borderId="9"/>
    <xf numFmtId="184" fontId="80" fillId="80" borderId="9"/>
    <xf numFmtId="184" fontId="80" fillId="80" borderId="9"/>
    <xf numFmtId="184" fontId="80" fillId="80" borderId="9"/>
    <xf numFmtId="43" fontId="20"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9" fontId="18" fillId="0" borderId="0" applyFont="0" applyFill="0" applyBorder="0" applyAlignment="0" applyProtection="0"/>
    <xf numFmtId="9" fontId="2" fillId="0" borderId="0" applyFont="0" applyFill="0" applyBorder="0" applyAlignment="0" applyProtection="0"/>
  </cellStyleXfs>
  <cellXfs count="94">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ill="1" applyAlignment="1">
      <alignment readingOrder="1"/>
    </xf>
    <xf numFmtId="0" fontId="6" fillId="0" borderId="0" xfId="0" applyFont="1" applyAlignment="1">
      <alignment readingOrder="1"/>
    </xf>
    <xf numFmtId="0" fontId="9" fillId="0" borderId="0" xfId="0" applyFont="1" applyAlignment="1">
      <alignment horizontal="left" wrapText="1" readingOrder="1"/>
    </xf>
    <xf numFmtId="0" fontId="0" fillId="0" borderId="0" xfId="0" applyAlignment="1">
      <alignment horizontal="right"/>
    </xf>
    <xf numFmtId="0" fontId="0" fillId="0" borderId="0" xfId="0" applyAlignment="1">
      <alignment horizontal="center"/>
    </xf>
    <xf numFmtId="0" fontId="164"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9" fontId="128" fillId="0" borderId="0" xfId="20526">
      <alignment horizontal="right"/>
    </xf>
    <xf numFmtId="0" fontId="6" fillId="0" borderId="0" xfId="0" applyFont="1" applyAlignment="1">
      <alignment horizontal="left" vertical="center" wrapText="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xf>
    <xf numFmtId="165" fontId="9" fillId="0" borderId="0" xfId="0" applyNumberFormat="1" applyFont="1" applyAlignment="1">
      <alignment horizontal="right" vertical="top" wrapText="1" readingOrder="1"/>
    </xf>
    <xf numFmtId="0" fontId="167" fillId="0" borderId="0" xfId="0" applyFont="1" applyAlignment="1">
      <alignment wrapText="1"/>
    </xf>
    <xf numFmtId="0" fontId="168" fillId="0" borderId="0" xfId="545" applyFont="1" applyAlignment="1">
      <alignment horizontal="left" wrapText="1"/>
    </xf>
    <xf numFmtId="0" fontId="10" fillId="0" borderId="0" xfId="0" applyFont="1" applyAlignment="1">
      <alignment readingOrder="1"/>
    </xf>
    <xf numFmtId="3" fontId="6" fillId="0" borderId="0" xfId="0" applyNumberFormat="1" applyFont="1" applyAlignment="1">
      <alignment horizontal="right" wrapText="1"/>
    </xf>
    <xf numFmtId="0" fontId="4" fillId="0" borderId="0" xfId="0" applyFont="1" applyAlignment="1">
      <alignment vertical="top" wrapText="1"/>
    </xf>
    <xf numFmtId="0" fontId="7" fillId="0" borderId="0" xfId="4" applyAlignment="1">
      <alignment vertical="top" wrapText="1"/>
    </xf>
    <xf numFmtId="0" fontId="170"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7" fillId="0" borderId="0" xfId="4" applyFill="1" applyAlignment="1">
      <alignment wrapText="1"/>
    </xf>
    <xf numFmtId="165" fontId="9" fillId="0" borderId="53" xfId="0" applyNumberFormat="1" applyFont="1" applyBorder="1" applyAlignment="1">
      <alignment horizontal="right" vertical="top" wrapText="1" readingOrder="1"/>
    </xf>
    <xf numFmtId="3" fontId="6" fillId="0" borderId="0" xfId="0" applyNumberFormat="1" applyFont="1" applyAlignment="1">
      <alignment horizontal="right"/>
    </xf>
    <xf numFmtId="1" fontId="6" fillId="0" borderId="0" xfId="0" applyNumberFormat="1" applyFont="1" applyAlignment="1">
      <alignment horizontal="right"/>
    </xf>
    <xf numFmtId="0" fontId="6" fillId="0" borderId="0" xfId="0" applyFont="1" applyAlignment="1">
      <alignment horizontal="left" wrapText="1"/>
    </xf>
    <xf numFmtId="0" fontId="7" fillId="0" borderId="0" xfId="4"/>
    <xf numFmtId="0" fontId="172" fillId="0" borderId="0" xfId="0" applyFont="1" applyAlignment="1">
      <alignment horizontal="left" wrapText="1" readingOrder="1"/>
    </xf>
    <xf numFmtId="0" fontId="172" fillId="0" borderId="54" xfId="0" applyFont="1" applyBorder="1" applyAlignment="1">
      <alignment horizontal="left" wrapText="1" readingOrder="1"/>
    </xf>
    <xf numFmtId="3" fontId="6" fillId="0" borderId="56" xfId="0" applyNumberFormat="1" applyFont="1" applyBorder="1" applyAlignment="1">
      <alignment horizontal="right"/>
    </xf>
    <xf numFmtId="3" fontId="6" fillId="0" borderId="54" xfId="0" applyNumberFormat="1" applyFont="1" applyBorder="1" applyAlignment="1">
      <alignment horizontal="right"/>
    </xf>
    <xf numFmtId="0" fontId="173" fillId="115" borderId="0" xfId="0" applyFont="1" applyFill="1"/>
    <xf numFmtId="0" fontId="0" fillId="0" borderId="0" xfId="0" applyAlignment="1">
      <alignment horizontal="left"/>
    </xf>
    <xf numFmtId="0" fontId="0" fillId="115" borderId="0" xfId="0" applyFill="1"/>
    <xf numFmtId="0" fontId="0" fillId="0" borderId="57" xfId="0" applyBorder="1"/>
    <xf numFmtId="2" fontId="0" fillId="0" borderId="58" xfId="0" applyNumberFormat="1" applyBorder="1"/>
    <xf numFmtId="0" fontId="0" fillId="0" borderId="58" xfId="0" applyBorder="1"/>
    <xf numFmtId="2" fontId="0" fillId="0" borderId="0" xfId="0" applyNumberFormat="1"/>
    <xf numFmtId="2" fontId="0" fillId="0" borderId="0" xfId="55011" applyNumberFormat="1" applyFont="1"/>
    <xf numFmtId="9" fontId="0" fillId="0" borderId="0" xfId="55011" applyFont="1"/>
    <xf numFmtId="0" fontId="0" fillId="0" borderId="0" xfId="0" pivotButton="1"/>
    <xf numFmtId="0" fontId="175" fillId="0" borderId="0" xfId="0" applyFont="1" applyAlignment="1">
      <alignment horizontal="center" vertical="top"/>
    </xf>
    <xf numFmtId="0" fontId="176" fillId="116" borderId="60" xfId="0" applyFont="1" applyFill="1" applyBorder="1" applyAlignment="1">
      <alignment horizontal="center" vertical="top"/>
    </xf>
    <xf numFmtId="0" fontId="176" fillId="116" borderId="61" xfId="0" applyFont="1" applyFill="1" applyBorder="1" applyAlignment="1">
      <alignment horizontal="center" vertical="top"/>
    </xf>
    <xf numFmtId="165" fontId="176" fillId="116" borderId="61" xfId="0" applyNumberFormat="1" applyFont="1" applyFill="1" applyBorder="1" applyAlignment="1">
      <alignment horizontal="center" vertical="top" wrapText="1" readingOrder="1"/>
    </xf>
    <xf numFmtId="165" fontId="176" fillId="116" borderId="62" xfId="0" applyNumberFormat="1" applyFont="1" applyFill="1" applyBorder="1" applyAlignment="1">
      <alignment horizontal="center" vertical="top" wrapText="1" readingOrder="1"/>
    </xf>
    <xf numFmtId="165" fontId="176" fillId="116" borderId="63" xfId="0" applyNumberFormat="1" applyFont="1" applyFill="1" applyBorder="1" applyAlignment="1">
      <alignment horizontal="center" vertical="top" wrapText="1" readingOrder="1"/>
    </xf>
    <xf numFmtId="0" fontId="0" fillId="0" borderId="0" xfId="0" applyAlignment="1">
      <alignment horizontal="center" vertical="center"/>
    </xf>
    <xf numFmtId="0" fontId="174" fillId="115" borderId="59" xfId="0" applyFont="1" applyFill="1" applyBorder="1"/>
    <xf numFmtId="3" fontId="6" fillId="0" borderId="53" xfId="0" applyNumberFormat="1" applyFont="1" applyBorder="1" applyAlignment="1">
      <alignment horizontal="right" wrapText="1"/>
    </xf>
    <xf numFmtId="3" fontId="0" fillId="0" borderId="0" xfId="0" applyNumberFormat="1" applyAlignment="1">
      <alignment horizontal="center" vertical="center"/>
    </xf>
    <xf numFmtId="0" fontId="3" fillId="0" borderId="0" xfId="1" applyFill="1" applyAlignment="1">
      <alignment horizontal="left" readingOrder="1"/>
    </xf>
    <xf numFmtId="3" fontId="0" fillId="0" borderId="0" xfId="0" applyNumberFormat="1"/>
    <xf numFmtId="0" fontId="177" fillId="0" borderId="0" xfId="0" applyFont="1"/>
    <xf numFmtId="3" fontId="6" fillId="0" borderId="53" xfId="0" applyNumberFormat="1" applyFont="1" applyBorder="1" applyAlignment="1">
      <alignment horizontal="right" wrapText="1" readingOrder="1"/>
    </xf>
    <xf numFmtId="3" fontId="6" fillId="0" borderId="55" xfId="0" applyNumberFormat="1" applyFont="1" applyBorder="1" applyAlignment="1">
      <alignment horizontal="right" wrapText="1" readingOrder="1"/>
    </xf>
    <xf numFmtId="0" fontId="10" fillId="0" borderId="0" xfId="0" applyFont="1" applyAlignment="1">
      <alignment horizontal="left" readingOrder="1"/>
    </xf>
    <xf numFmtId="0" fontId="169" fillId="0" borderId="0" xfId="0" applyFont="1" applyAlignment="1">
      <alignment horizontal="left" readingOrder="1"/>
    </xf>
    <xf numFmtId="0" fontId="178" fillId="0" borderId="0" xfId="0" applyFont="1"/>
    <xf numFmtId="0" fontId="179" fillId="0" borderId="0" xfId="0" applyFont="1"/>
    <xf numFmtId="0" fontId="3" fillId="0" borderId="0" xfId="0" applyFont="1" applyAlignment="1">
      <alignment horizontal="left"/>
    </xf>
    <xf numFmtId="1" fontId="6" fillId="0" borderId="53" xfId="0" applyNumberFormat="1" applyFont="1" applyBorder="1" applyAlignment="1">
      <alignment horizontal="right"/>
    </xf>
    <xf numFmtId="3" fontId="6" fillId="0" borderId="53" xfId="0" applyNumberFormat="1" applyFont="1" applyBorder="1" applyAlignment="1">
      <alignment horizontal="right"/>
    </xf>
    <xf numFmtId="3" fontId="6" fillId="0" borderId="55" xfId="0" applyNumberFormat="1" applyFont="1" applyBorder="1" applyAlignment="1">
      <alignment horizontal="right"/>
    </xf>
    <xf numFmtId="2" fontId="0" fillId="0" borderId="0" xfId="0" applyNumberFormat="1" applyAlignment="1">
      <alignment horizontal="right"/>
    </xf>
    <xf numFmtId="3" fontId="0" fillId="0" borderId="0" xfId="0" applyNumberFormat="1" applyAlignment="1">
      <alignment horizontal="right"/>
    </xf>
    <xf numFmtId="0" fontId="166" fillId="0" borderId="0" xfId="0" applyFont="1" applyAlignment="1">
      <alignment horizontal="left" readingOrder="1"/>
    </xf>
    <xf numFmtId="0" fontId="166" fillId="0" borderId="0" xfId="0" applyFont="1" applyAlignment="1">
      <alignment readingOrder="1"/>
    </xf>
    <xf numFmtId="0" fontId="7" fillId="0" borderId="0" xfId="4" applyFill="1" applyBorder="1" applyAlignment="1">
      <alignment wrapText="1"/>
    </xf>
    <xf numFmtId="0" fontId="0" fillId="0" borderId="0" xfId="0" applyAlignment="1">
      <alignment horizontal="left" wrapText="1"/>
    </xf>
    <xf numFmtId="0" fontId="3" fillId="0" borderId="0" xfId="1" applyAlignment="1">
      <alignment readingOrder="1"/>
    </xf>
    <xf numFmtId="165" fontId="9" fillId="0" borderId="0" xfId="0" applyNumberFormat="1" applyFont="1" applyAlignment="1">
      <alignment vertical="top" wrapText="1" readingOrder="1"/>
    </xf>
    <xf numFmtId="1" fontId="6" fillId="0" borderId="0" xfId="0" applyNumberFormat="1" applyFont="1" applyAlignment="1">
      <alignment horizontal="right" vertical="center"/>
    </xf>
    <xf numFmtId="165" fontId="6" fillId="0" borderId="53" xfId="0" applyNumberFormat="1" applyFont="1" applyBorder="1" applyAlignment="1">
      <alignment horizontal="right"/>
    </xf>
    <xf numFmtId="165" fontId="6" fillId="0" borderId="0" xfId="0" applyNumberFormat="1" applyFont="1" applyAlignment="1">
      <alignment horizontal="right" vertical="center"/>
    </xf>
    <xf numFmtId="165" fontId="6" fillId="0" borderId="0" xfId="0" applyNumberFormat="1" applyFont="1" applyAlignment="1">
      <alignment horizontal="right" wrapText="1" readingOrder="1"/>
    </xf>
    <xf numFmtId="0" fontId="7" fillId="0" borderId="0" xfId="4" applyFill="1" applyBorder="1" applyAlignment="1"/>
    <xf numFmtId="0" fontId="7" fillId="0" borderId="0" xfId="4" applyFill="1" applyBorder="1" applyAlignment="1">
      <alignment readingOrder="1"/>
    </xf>
    <xf numFmtId="0" fontId="0" fillId="0" borderId="0" xfId="0" applyAlignment="1">
      <alignment horizontal="left" wrapText="1"/>
    </xf>
    <xf numFmtId="0" fontId="0" fillId="0" borderId="0" xfId="0" applyAlignment="1">
      <alignment horizontal="left"/>
    </xf>
    <xf numFmtId="0" fontId="7" fillId="0" borderId="0" xfId="4" applyFill="1" applyAlignment="1">
      <alignment vertical="top" wrapText="1"/>
    </xf>
    <xf numFmtId="0" fontId="7" fillId="0" borderId="0" xfId="4" applyFill="1"/>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71">
    <dxf>
      <numFmt numFmtId="3" formatCode="#,##0"/>
      <alignment horizontal="center" vertical="center" textRotation="0" wrapText="0" indent="0" justifyLastLine="0" shrinkToFit="0" readingOrder="0"/>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top" textRotation="0" wrapText="1" indent="0" justifyLastLine="0" shrinkToFit="0" readingOrder="1"/>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2"/>
        <color rgb="FF000000"/>
        <name val="Calibri"/>
        <family val="2"/>
        <scheme val="none"/>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border diagonalUp="0" diagonalDown="0">
        <left/>
        <right style="thick">
          <color indexed="64"/>
        </right>
        <top/>
        <bottom/>
        <vertical/>
        <horizontal/>
      </border>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border outline="0">
        <left style="thick">
          <color indexed="64"/>
        </left>
        <right/>
      </border>
    </dxf>
    <dxf>
      <font>
        <b val="0"/>
      </font>
      <fill>
        <patternFill patternType="none">
          <fgColor indexed="64"/>
          <bgColor auto="1"/>
        </patternFill>
      </fill>
      <alignment horizontal="right" vertical="bottom" textRotation="0" indent="0" justifyLastLine="0" shrinkToFit="0"/>
    </dxf>
    <dxf>
      <font>
        <b val="0"/>
      </font>
      <numFmt numFmtId="2"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6"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outline="0">
        <left style="thick">
          <color indexed="64"/>
        </left>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top/>
        <bottom/>
      </border>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center" textRotation="0" wrapText="1" indent="0" justifyLastLine="0" shrinkToFit="0" readingOrder="0"/>
    </dxf>
    <dxf>
      <alignment horizontal="left" vertical="bottom" textRotation="0" wrapText="1" indent="0" justifyLastLine="0" shrinkToFit="0" readingOrder="0"/>
    </dxf>
    <dxf>
      <alignment horizontal="left" vertical="bottom" textRotation="0" wrapText="0" indent="0" justifyLastLine="0" shrinkToFit="0"/>
    </dxf>
    <dxf>
      <alignment horizontal="left" vertical="bottom" textRotation="0" indent="0" justifyLastLine="0" shrinkToFit="0"/>
    </dxf>
  </dxfs>
  <tableStyles count="5" defaultTableStyle="TableStyleMedium2" defaultPivotStyle="PivotStyleLight16">
    <tableStyle name="indicators" pivot="0" table="0" count="6" xr9:uid="{F35CBC20-9EDE-4CA8-BDD4-362C8ECC02B8}"/>
    <tableStyle name="indicators 2" pivot="0" table="0" count="6" xr9:uid="{3F64A376-3736-4715-8CE6-4FD955576E48}"/>
    <tableStyle name="Invisible" pivot="0" table="0" count="0" xr9:uid="{06A48C4A-A1EE-4E17-9FE2-BDBFF66F83E9}"/>
    <tableStyle name="Slicer Style 1" pivot="0" table="0" count="6" xr9:uid="{2A21D74A-C287-4319-966B-52FBF332FBB3}"/>
    <tableStyle name="Slicer Style 1 2" pivot="0" table="0" count="6" xr9:uid="{1D6C4630-9A35-495C-A232-C4828E06B297}"/>
  </tableStyles>
  <colors>
    <mruColors>
      <color rgb="FF702472"/>
      <color rgb="FF9C46A3"/>
      <color rgb="FF8787C9"/>
      <color rgb="FF0000FF"/>
      <color rgb="FF253268"/>
      <color rgb="FF8392C3"/>
    </mruColors>
  </colors>
  <extLst>
    <ext xmlns:x14="http://schemas.microsoft.com/office/spreadsheetml/2009/9/main" uri="{46F421CA-312F-682f-3DD2-61675219B42D}">
      <x14:dxfs count="24">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23"/>
            <x14:slicerStyleElement type="unselectedItemWithNoData" dxfId="22"/>
            <x14:slicerStyleElement type="selectedItemWithData" dxfId="21"/>
            <x14:slicerStyleElement type="hoveredUnselectedItemWithData" dxfId="20"/>
            <x14:slicerStyleElement type="hoveredSelectedItemWithData" dxfId="19"/>
            <x14:slicerStyleElement type="hoveredSelectedItemWithNoData" dxfId="18"/>
          </x14:slicerStyleElements>
        </x14:slicerStyle>
        <x14:slicerStyle name="indicators 2">
          <x14:slicerStyleElements>
            <x14:slicerStyleElement type="unselectedItemWithData" dxfId="17"/>
            <x14:slicerStyleElement type="unselectedItemWithNoData" dxfId="16"/>
            <x14:slicerStyleElement type="selectedItemWithData" dxfId="15"/>
            <x14:slicerStyleElement type="hoveredUnselectedItemWithData" dxfId="14"/>
            <x14:slicerStyleElement type="hoveredSelectedItemWithData" dxfId="13"/>
            <x14:slicerStyleElement type="hoveredSelectedItemWithNoData" dxfId="12"/>
          </x14:slicerStyleElements>
        </x14:slicerStyle>
        <x14:slicerStyle name="Slicer Style 1">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2">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8"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 Id="rId9" Type="http://schemas.openxmlformats.org/officeDocument/2006/relationships/customXml" Target="../ink/ink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7</xdr:col>
      <xdr:colOff>350328</xdr:colOff>
      <xdr:row>3</xdr:row>
      <xdr:rowOff>1587</xdr:rowOff>
    </xdr:to>
    <mc:AlternateContent xmlns:mc="http://schemas.openxmlformats.org/markup-compatibility/2006" xmlns:a14="http://schemas.microsoft.com/office/drawing/2010/main">
      <mc:Choice Requires="a14">
        <xdr:graphicFrame macro="">
          <xdr:nvGraphicFramePr>
            <xdr:cNvPr id="6" name="Year">
              <a:extLst>
                <a:ext uri="{FF2B5EF4-FFF2-40B4-BE49-F238E27FC236}">
                  <a16:creationId xmlns:a16="http://schemas.microsoft.com/office/drawing/2014/main" id="{B73425CB-8FC7-CF56-B27B-E6531C1FE5A3}"/>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0" y="31750"/>
              <a:ext cx="5367161" cy="5129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1066447</xdr:colOff>
      <xdr:row>0</xdr:row>
      <xdr:rowOff>84843</xdr:rowOff>
    </xdr:from>
    <xdr:to>
      <xdr:col>22</xdr:col>
      <xdr:colOff>39670</xdr:colOff>
      <xdr:row>2</xdr:row>
      <xdr:rowOff>145168</xdr:rowOff>
    </xdr:to>
    <mc:AlternateContent xmlns:mc="http://schemas.openxmlformats.org/markup-compatibility/2006" xmlns:a14="http://schemas.microsoft.com/office/drawing/2010/main">
      <mc:Choice Requires="a14">
        <xdr:graphicFrame macro="">
          <xdr:nvGraphicFramePr>
            <xdr:cNvPr id="7" name="KPI">
              <a:extLst>
                <a:ext uri="{FF2B5EF4-FFF2-40B4-BE49-F238E27FC236}">
                  <a16:creationId xmlns:a16="http://schemas.microsoft.com/office/drawing/2014/main" id="{31D621DC-80A8-70C3-4D61-F38EA92FE504}"/>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6790972" y="84843"/>
              <a:ext cx="9780923"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513750</xdr:colOff>
      <xdr:row>58</xdr:row>
      <xdr:rowOff>109275</xdr:rowOff>
    </xdr:from>
    <xdr:to>
      <xdr:col>8</xdr:col>
      <xdr:colOff>514110</xdr:colOff>
      <xdr:row>58</xdr:row>
      <xdr:rowOff>114397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8EA6A21-63D7-367B-CEF0-F80C9DCE5FC4}"/>
                </a:ext>
              </a:extLst>
            </xdr14:cNvPr>
            <xdr14:cNvContentPartPr/>
          </xdr14:nvContentPartPr>
          <xdr14:nvPr macro=""/>
          <xdr14:xfrm>
            <a:off x="7619400" y="9834300"/>
            <a:ext cx="360" cy="360"/>
          </xdr14:xfrm>
        </xdr:contentPart>
      </mc:Choice>
      <mc:Fallback xmlns="">
        <xdr:pic>
          <xdr:nvPicPr>
            <xdr:cNvPr id="2" name="Ink 1">
              <a:extLst>
                <a:ext uri="{FF2B5EF4-FFF2-40B4-BE49-F238E27FC236}">
                  <a16:creationId xmlns:a16="http://schemas.microsoft.com/office/drawing/2014/main" id="{08EA6A21-63D7-367B-CEF0-F80C9DCE5FC4}"/>
                </a:ext>
              </a:extLst>
            </xdr:cNvPr>
            <xdr:cNvPicPr/>
          </xdr:nvPicPr>
          <xdr:blipFill>
            <a:blip xmlns:r="http://schemas.openxmlformats.org/officeDocument/2006/relationships" r:embed="rId2"/>
            <a:stretch>
              <a:fillRect/>
            </a:stretch>
          </xdr:blipFill>
          <xdr:spPr>
            <a:xfrm>
              <a:off x="7615080" y="9829980"/>
              <a:ext cx="9000" cy="9000"/>
            </a:xfrm>
            <a:prstGeom prst="rect">
              <a:avLst/>
            </a:prstGeom>
          </xdr:spPr>
        </xdr:pic>
      </mc:Fallback>
    </mc:AlternateContent>
    <xdr:clientData/>
  </xdr:twoCellAnchor>
  <xdr:twoCellAnchor editAs="oneCell">
    <xdr:from>
      <xdr:col>2</xdr:col>
      <xdr:colOff>332865</xdr:colOff>
      <xdr:row>11</xdr:row>
      <xdr:rowOff>151980</xdr:rowOff>
    </xdr:from>
    <xdr:to>
      <xdr:col>2</xdr:col>
      <xdr:colOff>336400</xdr:colOff>
      <xdr:row>11</xdr:row>
      <xdr:rowOff>152340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5C8CC19-B85F-9E77-6457-49FE9F7B1892}"/>
                </a:ext>
              </a:extLst>
            </xdr14:cNvPr>
            <xdr14:cNvContentPartPr/>
          </xdr14:nvContentPartPr>
          <xdr14:nvPr macro=""/>
          <xdr14:xfrm>
            <a:off x="2418840" y="2247480"/>
            <a:ext cx="360" cy="360"/>
          </xdr14:xfrm>
        </xdr:contentPart>
      </mc:Choice>
      <mc:Fallback xmlns="">
        <xdr:pic>
          <xdr:nvPicPr>
            <xdr:cNvPr id="3" name="Ink 2">
              <a:extLst>
                <a:ext uri="{FF2B5EF4-FFF2-40B4-BE49-F238E27FC236}">
                  <a16:creationId xmlns:a16="http://schemas.microsoft.com/office/drawing/2014/main" id="{B5C8CC19-B85F-9E77-6457-49FE9F7B1892}"/>
                </a:ext>
              </a:extLst>
            </xdr:cNvPr>
            <xdr:cNvPicPr/>
          </xdr:nvPicPr>
          <xdr:blipFill>
            <a:blip xmlns:r="http://schemas.openxmlformats.org/officeDocument/2006/relationships" r:embed="rId2"/>
            <a:stretch>
              <a:fillRect/>
            </a:stretch>
          </xdr:blipFill>
          <xdr:spPr>
            <a:xfrm>
              <a:off x="2414520" y="2243160"/>
              <a:ext cx="9000" cy="9000"/>
            </a:xfrm>
            <a:prstGeom prst="rect">
              <a:avLst/>
            </a:prstGeom>
          </xdr:spPr>
        </xdr:pic>
      </mc:Fallback>
    </mc:AlternateContent>
    <xdr:clientData/>
  </xdr:twoCellAnchor>
  <xdr:twoCellAnchor editAs="oneCell">
    <xdr:from>
      <xdr:col>0</xdr:col>
      <xdr:colOff>385200</xdr:colOff>
      <xdr:row>24</xdr:row>
      <xdr:rowOff>61620</xdr:rowOff>
    </xdr:from>
    <xdr:to>
      <xdr:col>0</xdr:col>
      <xdr:colOff>393497</xdr:colOff>
      <xdr:row>24</xdr:row>
      <xdr:rowOff>66023</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919F27B6-9529-F190-C9BF-BE0EB0126A96}"/>
                </a:ext>
              </a:extLst>
            </xdr14:cNvPr>
            <xdr14:cNvContentPartPr/>
          </xdr14:nvContentPartPr>
          <xdr14:nvPr macro=""/>
          <xdr14:xfrm>
            <a:off x="385200" y="3300120"/>
            <a:ext cx="360" cy="360"/>
          </xdr14:xfrm>
        </xdr:contentPart>
      </mc:Choice>
      <mc:Fallback xmlns="">
        <xdr:pic>
          <xdr:nvPicPr>
            <xdr:cNvPr id="4" name="Ink 3">
              <a:extLst>
                <a:ext uri="{FF2B5EF4-FFF2-40B4-BE49-F238E27FC236}">
                  <a16:creationId xmlns:a16="http://schemas.microsoft.com/office/drawing/2014/main" id="{919F27B6-9529-F190-C9BF-BE0EB0126A96}"/>
                </a:ext>
              </a:extLst>
            </xdr:cNvPr>
            <xdr:cNvPicPr/>
          </xdr:nvPicPr>
          <xdr:blipFill>
            <a:blip xmlns:r="http://schemas.openxmlformats.org/officeDocument/2006/relationships" r:embed="rId2"/>
            <a:stretch>
              <a:fillRect/>
            </a:stretch>
          </xdr:blipFill>
          <xdr:spPr>
            <a:xfrm>
              <a:off x="380880" y="3295800"/>
              <a:ext cx="9000" cy="9000"/>
            </a:xfrm>
            <a:prstGeom prst="rect">
              <a:avLst/>
            </a:prstGeom>
          </xdr:spPr>
        </xdr:pic>
      </mc:Fallback>
    </mc:AlternateContent>
    <xdr:clientData/>
  </xdr:twoCellAnchor>
  <xdr:twoCellAnchor editAs="oneCell">
    <xdr:from>
      <xdr:col>1</xdr:col>
      <xdr:colOff>661440</xdr:colOff>
      <xdr:row>8</xdr:row>
      <xdr:rowOff>133080</xdr:rowOff>
    </xdr:from>
    <xdr:to>
      <xdr:col>1</xdr:col>
      <xdr:colOff>666562</xdr:colOff>
      <xdr:row>8</xdr:row>
      <xdr:rowOff>133440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185050CD-4FD1-2F23-774C-13294C40254D}"/>
                </a:ext>
              </a:extLst>
            </xdr14:cNvPr>
            <xdr14:cNvContentPartPr/>
          </xdr14:nvContentPartPr>
          <xdr14:nvPr macro=""/>
          <xdr14:xfrm>
            <a:off x="1194840" y="1657080"/>
            <a:ext cx="360" cy="360"/>
          </xdr14:xfrm>
        </xdr:contentPart>
      </mc:Choice>
      <mc:Fallback xmlns="">
        <xdr:pic>
          <xdr:nvPicPr>
            <xdr:cNvPr id="5" name="Ink 4">
              <a:extLst>
                <a:ext uri="{FF2B5EF4-FFF2-40B4-BE49-F238E27FC236}">
                  <a16:creationId xmlns:a16="http://schemas.microsoft.com/office/drawing/2014/main" id="{185050CD-4FD1-2F23-774C-13294C40254D}"/>
                </a:ext>
              </a:extLst>
            </xdr:cNvPr>
            <xdr:cNvPicPr/>
          </xdr:nvPicPr>
          <xdr:blipFill>
            <a:blip xmlns:r="http://schemas.openxmlformats.org/officeDocument/2006/relationships" r:embed="rId2"/>
            <a:stretch>
              <a:fillRect/>
            </a:stretch>
          </xdr:blipFill>
          <xdr:spPr>
            <a:xfrm>
              <a:off x="1190520" y="1652760"/>
              <a:ext cx="9000" cy="9000"/>
            </a:xfrm>
            <a:prstGeom prst="rect">
              <a:avLst/>
            </a:prstGeom>
          </xdr:spPr>
        </xdr:pic>
      </mc:Fallback>
    </mc:AlternateContent>
    <xdr:clientData/>
  </xdr:twoCellAnchor>
  <xdr:twoCellAnchor editAs="oneCell">
    <xdr:from>
      <xdr:col>1</xdr:col>
      <xdr:colOff>390000</xdr:colOff>
      <xdr:row>9</xdr:row>
      <xdr:rowOff>185220</xdr:rowOff>
    </xdr:from>
    <xdr:to>
      <xdr:col>1</xdr:col>
      <xdr:colOff>393535</xdr:colOff>
      <xdr:row>10</xdr:row>
      <xdr:rowOff>7250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0" name="Ink 9">
              <a:extLst>
                <a:ext uri="{FF2B5EF4-FFF2-40B4-BE49-F238E27FC236}">
                  <a16:creationId xmlns:a16="http://schemas.microsoft.com/office/drawing/2014/main" id="{45230554-073F-8053-B91A-56E8445D1C8F}"/>
                </a:ext>
              </a:extLst>
            </xdr14:cNvPr>
            <xdr14:cNvContentPartPr/>
          </xdr14:nvContentPartPr>
          <xdr14:nvPr macro=""/>
          <xdr14:xfrm>
            <a:off x="923400" y="1899720"/>
            <a:ext cx="360" cy="360"/>
          </xdr14:xfrm>
        </xdr:contentPart>
      </mc:Choice>
      <mc:Fallback xmlns="">
        <xdr:pic>
          <xdr:nvPicPr>
            <xdr:cNvPr id="10" name="Ink 9">
              <a:extLst>
                <a:ext uri="{FF2B5EF4-FFF2-40B4-BE49-F238E27FC236}">
                  <a16:creationId xmlns:a16="http://schemas.microsoft.com/office/drawing/2014/main" id="{45230554-073F-8053-B91A-56E8445D1C8F}"/>
                </a:ext>
              </a:extLst>
            </xdr:cNvPr>
            <xdr:cNvPicPr/>
          </xdr:nvPicPr>
          <xdr:blipFill>
            <a:blip xmlns:r="http://schemas.openxmlformats.org/officeDocument/2006/relationships" r:embed="rId2"/>
            <a:stretch>
              <a:fillRect/>
            </a:stretch>
          </xdr:blipFill>
          <xdr:spPr>
            <a:xfrm>
              <a:off x="919080" y="1895400"/>
              <a:ext cx="9000" cy="9000"/>
            </a:xfrm>
            <a:prstGeom prst="rect">
              <a:avLst/>
            </a:prstGeom>
          </xdr:spPr>
        </xdr:pic>
      </mc:Fallback>
    </mc:AlternateContent>
    <xdr:clientData/>
  </xdr:twoCellAnchor>
  <xdr:twoCellAnchor editAs="oneCell">
    <xdr:from>
      <xdr:col>0</xdr:col>
      <xdr:colOff>304200</xdr:colOff>
      <xdr:row>71</xdr:row>
      <xdr:rowOff>142373</xdr:rowOff>
    </xdr:from>
    <xdr:to>
      <xdr:col>0</xdr:col>
      <xdr:colOff>304560</xdr:colOff>
      <xdr:row>71</xdr:row>
      <xdr:rowOff>145908</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1" name="Ink 10">
              <a:extLst>
                <a:ext uri="{FF2B5EF4-FFF2-40B4-BE49-F238E27FC236}">
                  <a16:creationId xmlns:a16="http://schemas.microsoft.com/office/drawing/2014/main" id="{A912B559-3771-9B4C-DB72-1325DC28903D}"/>
                </a:ext>
              </a:extLst>
            </xdr14:cNvPr>
            <xdr14:cNvContentPartPr/>
          </xdr14:nvContentPartPr>
          <xdr14:nvPr macro=""/>
          <xdr14:xfrm>
            <a:off x="304200" y="12353423"/>
            <a:ext cx="360" cy="360"/>
          </xdr14:xfrm>
        </xdr:contentPart>
      </mc:Choice>
      <mc:Fallback xmlns="">
        <xdr:pic>
          <xdr:nvPicPr>
            <xdr:cNvPr id="11" name="Ink 10">
              <a:extLst>
                <a:ext uri="{FF2B5EF4-FFF2-40B4-BE49-F238E27FC236}">
                  <a16:creationId xmlns:a16="http://schemas.microsoft.com/office/drawing/2014/main" id="{A912B559-3771-9B4C-DB72-1325DC28903D}"/>
                </a:ext>
              </a:extLst>
            </xdr:cNvPr>
            <xdr:cNvPicPr/>
          </xdr:nvPicPr>
          <xdr:blipFill>
            <a:blip xmlns:r="http://schemas.openxmlformats.org/officeDocument/2006/relationships" r:embed="rId2"/>
            <a:stretch>
              <a:fillRect/>
            </a:stretch>
          </xdr:blipFill>
          <xdr:spPr>
            <a:xfrm>
              <a:off x="299880" y="12158603"/>
              <a:ext cx="9000" cy="9000"/>
            </a:xfrm>
            <a:prstGeom prst="rect">
              <a:avLst/>
            </a:prstGeom>
          </xdr:spPr>
        </xdr:pic>
      </mc:Fallback>
    </mc:AlternateContent>
    <xdr:clientData/>
  </xdr:twoCellAnchor>
  <xdr:twoCellAnchor editAs="oneCell">
    <xdr:from>
      <xdr:col>0</xdr:col>
      <xdr:colOff>256680</xdr:colOff>
      <xdr:row>71</xdr:row>
      <xdr:rowOff>47333</xdr:rowOff>
    </xdr:from>
    <xdr:to>
      <xdr:col>0</xdr:col>
      <xdr:colOff>260215</xdr:colOff>
      <xdr:row>71</xdr:row>
      <xdr:rowOff>56498</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2" name="Ink 11">
              <a:extLst>
                <a:ext uri="{FF2B5EF4-FFF2-40B4-BE49-F238E27FC236}">
                  <a16:creationId xmlns:a16="http://schemas.microsoft.com/office/drawing/2014/main" id="{1832ABB6-5A77-0405-2DC2-DC44B94298D4}"/>
                </a:ext>
              </a:extLst>
            </xdr14:cNvPr>
            <xdr14:cNvContentPartPr/>
          </xdr14:nvContentPartPr>
          <xdr14:nvPr macro=""/>
          <xdr14:xfrm>
            <a:off x="256680" y="12258383"/>
            <a:ext cx="360" cy="360"/>
          </xdr14:xfrm>
        </xdr:contentPart>
      </mc:Choice>
      <mc:Fallback xmlns="">
        <xdr:pic>
          <xdr:nvPicPr>
            <xdr:cNvPr id="12" name="Ink 11">
              <a:extLst>
                <a:ext uri="{FF2B5EF4-FFF2-40B4-BE49-F238E27FC236}">
                  <a16:creationId xmlns:a16="http://schemas.microsoft.com/office/drawing/2014/main" id="{1832ABB6-5A77-0405-2DC2-DC44B94298D4}"/>
                </a:ext>
              </a:extLst>
            </xdr:cNvPr>
            <xdr:cNvPicPr/>
          </xdr:nvPicPr>
          <xdr:blipFill>
            <a:blip xmlns:r="http://schemas.openxmlformats.org/officeDocument/2006/relationships" r:embed="rId2"/>
            <a:stretch>
              <a:fillRect/>
            </a:stretch>
          </xdr:blipFill>
          <xdr:spPr>
            <a:xfrm>
              <a:off x="252360" y="12063563"/>
              <a:ext cx="9000" cy="9000"/>
            </a:xfrm>
            <a:prstGeom prst="rect">
              <a:avLst/>
            </a:prstGeom>
          </xdr:spPr>
        </xdr:pic>
      </mc:Fallback>
    </mc:AlternateContent>
    <xdr:clientData/>
  </xdr:twoCellAnchor>
  <xdr:twoCellAnchor editAs="oneCell">
    <xdr:from>
      <xdr:col>1</xdr:col>
      <xdr:colOff>937560</xdr:colOff>
      <xdr:row>71</xdr:row>
      <xdr:rowOff>0</xdr:rowOff>
    </xdr:from>
    <xdr:to>
      <xdr:col>1</xdr:col>
      <xdr:colOff>945857</xdr:colOff>
      <xdr:row>71</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3" name="Ink 12">
              <a:extLst>
                <a:ext uri="{FF2B5EF4-FFF2-40B4-BE49-F238E27FC236}">
                  <a16:creationId xmlns:a16="http://schemas.microsoft.com/office/drawing/2014/main" id="{2B5EE768-A480-8929-C422-B451869836EC}"/>
                </a:ext>
              </a:extLst>
            </xdr14:cNvPr>
            <xdr14:cNvContentPartPr/>
          </xdr14:nvContentPartPr>
          <xdr14:nvPr macro=""/>
          <xdr14:xfrm>
            <a:off x="1451910" y="12211050"/>
            <a:ext cx="360" cy="360"/>
          </xdr14:xfrm>
        </xdr:contentPart>
      </mc:Choice>
      <mc:Fallback xmlns="">
        <xdr:pic>
          <xdr:nvPicPr>
            <xdr:cNvPr id="13" name="Ink 12">
              <a:extLst>
                <a:ext uri="{FF2B5EF4-FFF2-40B4-BE49-F238E27FC236}">
                  <a16:creationId xmlns:a16="http://schemas.microsoft.com/office/drawing/2014/main" id="{2B5EE768-A480-8929-C422-B451869836EC}"/>
                </a:ext>
              </a:extLst>
            </xdr:cNvPr>
            <xdr:cNvPicPr/>
          </xdr:nvPicPr>
          <xdr:blipFill>
            <a:blip xmlns:r="http://schemas.openxmlformats.org/officeDocument/2006/relationships" r:embed="rId2"/>
            <a:stretch>
              <a:fillRect/>
            </a:stretch>
          </xdr:blipFill>
          <xdr:spPr>
            <a:xfrm>
              <a:off x="1447590" y="12016230"/>
              <a:ext cx="9000" cy="9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7:37:45.518"/>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10.534"/>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6.716"/>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7.840"/>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8.721"/>
    </inkml:context>
    <inkml:brush xml:id="br0">
      <inkml:brushProperty name="width" value="0.025" units="cm"/>
      <inkml:brushProperty name="height" value="0.025" units="cm"/>
      <inkml:brushProperty name="color" value="#00A0D7"/>
    </inkml:brush>
  </inkml:definitions>
  <inkml:trace contextRef="#ctx0" brushRef="#br0">1 1 24575,'0'0'-8191</inkml:trace>
  <inkml:trace contextRef="#ctx0" brushRef="#br0" timeOffset="370.86">1 1 24575,'0'0'-8191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6.432"/>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7.590"/>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8.452"/>
    </inkml:context>
    <inkml:brush xml:id="br0">
      <inkml:brushProperty name="width" value="0.025" units="cm"/>
      <inkml:brushProperty name="height" value="0.025" units="cm"/>
      <inkml:brushProperty name="color" value="#00A0D7"/>
    </inkml:brush>
  </inkml:definitions>
  <inkml:trace contextRef="#ctx0" brushRef="#br0">1 1 24575</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ong  Trieu" refreshedDate="45496.64528553241" createdVersion="8" refreshedVersion="8" minRefreshableVersion="3" recordCount="42" xr:uid="{D4839EE3-7C38-4203-97BD-F41BAA7FC8BE}">
  <cacheSource type="worksheet">
    <worksheetSource name="Data"/>
  </cacheSource>
  <cacheFields count="9">
    <cacheField name="Year" numFmtId="0">
      <sharedItems count="9">
        <s v="2015-16"/>
        <s v="2016-17"/>
        <s v="2017-18"/>
        <s v="2018-19"/>
        <s v="2019-20"/>
        <s v="2020-21"/>
        <s v="2021-22"/>
        <s v="2022-23"/>
        <s v="2023-24"/>
      </sharedItems>
    </cacheField>
    <cacheField name="KPI" numFmtId="0">
      <sharedItems count="8">
        <s v="Noise"/>
        <s v="Biodiversity"/>
        <s v="Air Quality"/>
        <s v="National Highways carbon emissions"/>
        <s v="Supply chain carbon emissions"/>
        <s v="Condition of Cultural Heritage assets"/>
        <s v="Water quality"/>
        <s v="Litter"/>
      </sharedItems>
    </cacheField>
    <cacheField name="National Highways" numFmtId="0">
      <sharedItems containsString="0" containsBlank="1" containsNumber="1" minValue="3.004" maxValue="563847"/>
    </cacheField>
    <cacheField name="Yorkshire and North East" numFmtId="0">
      <sharedItems containsString="0" containsBlank="1" containsNumber="1" minValue="0" maxValue="93692"/>
    </cacheField>
    <cacheField name="North West_x000a_" numFmtId="0">
      <sharedItems containsString="0" containsBlank="1" containsNumber="1" minValue="1" maxValue="68143"/>
    </cacheField>
    <cacheField name="Midlands_x000a_" numFmtId="0">
      <sharedItems containsString="0" containsBlank="1" containsNumber="1" containsInteger="1" minValue="0" maxValue="47102"/>
    </cacheField>
    <cacheField name="East_x000a_" numFmtId="0">
      <sharedItems containsString="0" containsBlank="1" containsNumber="1" minValue="0" maxValue="34714"/>
    </cacheField>
    <cacheField name="South East_x000a_" numFmtId="0">
      <sharedItems containsString="0" containsBlank="1" containsNumber="1" containsInteger="1" minValue="0" maxValue="99538"/>
    </cacheField>
    <cacheField name="South West_x000a_" numFmtId="0">
      <sharedItems containsString="0" containsBlank="1" containsNumber="1" minValue="0" maxValue="39569"/>
    </cacheField>
  </cacheFields>
  <extLst>
    <ext xmlns:x14="http://schemas.microsoft.com/office/spreadsheetml/2009/9/main" uri="{725AE2AE-9491-48be-B2B4-4EB974FC3084}">
      <x14:pivotCacheDefinition pivotCacheId="10949205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x v="0"/>
    <n v="62"/>
    <m/>
    <m/>
    <m/>
    <m/>
    <m/>
    <m/>
  </r>
  <r>
    <x v="1"/>
    <x v="0"/>
    <n v="141"/>
    <m/>
    <m/>
    <m/>
    <m/>
    <m/>
    <m/>
  </r>
  <r>
    <x v="2"/>
    <x v="0"/>
    <n v="448"/>
    <m/>
    <m/>
    <m/>
    <m/>
    <m/>
    <m/>
  </r>
  <r>
    <x v="3"/>
    <x v="0"/>
    <n v="300"/>
    <m/>
    <m/>
    <m/>
    <m/>
    <m/>
    <m/>
  </r>
  <r>
    <x v="4"/>
    <x v="0"/>
    <n v="223"/>
    <m/>
    <m/>
    <m/>
    <m/>
    <m/>
    <m/>
  </r>
  <r>
    <x v="5"/>
    <x v="0"/>
    <n v="2111"/>
    <n v="0"/>
    <n v="1528"/>
    <n v="25"/>
    <n v="2"/>
    <n v="224"/>
    <n v="332"/>
  </r>
  <r>
    <x v="6"/>
    <x v="0"/>
    <n v="1067"/>
    <n v="311"/>
    <n v="1"/>
    <n v="0"/>
    <n v="0"/>
    <n v="755"/>
    <n v="0"/>
  </r>
  <r>
    <x v="7"/>
    <x v="0"/>
    <n v="1029"/>
    <n v="126"/>
    <n v="442"/>
    <n v="46"/>
    <n v="0"/>
    <n v="363"/>
    <n v="8"/>
  </r>
  <r>
    <x v="8"/>
    <x v="0"/>
    <n v="990"/>
    <m/>
    <m/>
    <m/>
    <m/>
    <m/>
    <m/>
  </r>
  <r>
    <x v="5"/>
    <x v="1"/>
    <n v="147"/>
    <m/>
    <m/>
    <m/>
    <m/>
    <m/>
    <m/>
  </r>
  <r>
    <x v="6"/>
    <x v="1"/>
    <n v="364"/>
    <m/>
    <m/>
    <m/>
    <m/>
    <m/>
    <m/>
  </r>
  <r>
    <x v="7"/>
    <x v="1"/>
    <n v="1622"/>
    <m/>
    <m/>
    <m/>
    <m/>
    <m/>
    <m/>
  </r>
  <r>
    <x v="8"/>
    <x v="1"/>
    <n v="2389"/>
    <m/>
    <m/>
    <m/>
    <m/>
    <m/>
    <m/>
  </r>
  <r>
    <x v="5"/>
    <x v="2"/>
    <n v="31"/>
    <n v="7"/>
    <n v="2"/>
    <n v="11"/>
    <n v="0"/>
    <n v="8"/>
    <n v="3"/>
  </r>
  <r>
    <x v="6"/>
    <x v="2"/>
    <n v="31"/>
    <n v="7"/>
    <n v="2"/>
    <n v="11"/>
    <n v="0"/>
    <n v="8"/>
    <n v="3"/>
  </r>
  <r>
    <x v="7"/>
    <x v="2"/>
    <n v="43"/>
    <n v="10"/>
    <n v="10"/>
    <n v="11"/>
    <n v="0"/>
    <n v="9"/>
    <n v="3"/>
  </r>
  <r>
    <x v="8"/>
    <x v="2"/>
    <n v="30"/>
    <m/>
    <m/>
    <m/>
    <m/>
    <m/>
    <m/>
  </r>
  <r>
    <x v="5"/>
    <x v="3"/>
    <m/>
    <m/>
    <m/>
    <m/>
    <m/>
    <m/>
    <m/>
  </r>
  <r>
    <x v="6"/>
    <x v="3"/>
    <n v="37178"/>
    <m/>
    <m/>
    <m/>
    <m/>
    <m/>
    <m/>
  </r>
  <r>
    <x v="7"/>
    <x v="3"/>
    <n v="44809"/>
    <m/>
    <m/>
    <m/>
    <m/>
    <m/>
    <m/>
  </r>
  <r>
    <x v="8"/>
    <x v="3"/>
    <n v="45266"/>
    <m/>
    <m/>
    <m/>
    <m/>
    <m/>
    <m/>
  </r>
  <r>
    <x v="0"/>
    <x v="4"/>
    <n v="406523"/>
    <m/>
    <m/>
    <m/>
    <m/>
    <m/>
    <m/>
  </r>
  <r>
    <x v="1"/>
    <x v="4"/>
    <n v="326535"/>
    <m/>
    <m/>
    <m/>
    <m/>
    <m/>
    <m/>
  </r>
  <r>
    <x v="2"/>
    <x v="4"/>
    <n v="255000"/>
    <m/>
    <m/>
    <m/>
    <m/>
    <m/>
    <m/>
  </r>
  <r>
    <x v="3"/>
    <x v="4"/>
    <n v="293684"/>
    <m/>
    <m/>
    <m/>
    <m/>
    <m/>
    <m/>
  </r>
  <r>
    <x v="4"/>
    <x v="4"/>
    <n v="563847"/>
    <m/>
    <m/>
    <m/>
    <m/>
    <m/>
    <m/>
  </r>
  <r>
    <x v="5"/>
    <x v="4"/>
    <n v="365353"/>
    <m/>
    <m/>
    <m/>
    <m/>
    <m/>
    <m/>
  </r>
  <r>
    <x v="6"/>
    <x v="4"/>
    <n v="286238"/>
    <n v="56873"/>
    <n v="32402"/>
    <n v="47102"/>
    <n v="34714"/>
    <n v="99538"/>
    <n v="15609"/>
  </r>
  <r>
    <x v="7"/>
    <x v="4"/>
    <n v="346910"/>
    <n v="93692"/>
    <n v="68143"/>
    <n v="45759"/>
    <n v="17137"/>
    <n v="82609"/>
    <n v="39569"/>
  </r>
  <r>
    <x v="8"/>
    <x v="4"/>
    <n v="410562"/>
    <m/>
    <m/>
    <m/>
    <m/>
    <m/>
    <m/>
  </r>
  <r>
    <x v="5"/>
    <x v="5"/>
    <n v="51580"/>
    <m/>
    <m/>
    <m/>
    <m/>
    <m/>
    <m/>
  </r>
  <r>
    <x v="6"/>
    <x v="5"/>
    <n v="51592"/>
    <m/>
    <m/>
    <m/>
    <m/>
    <m/>
    <m/>
  </r>
  <r>
    <x v="7"/>
    <x v="5"/>
    <n v="51626"/>
    <m/>
    <m/>
    <m/>
    <m/>
    <m/>
    <m/>
  </r>
  <r>
    <x v="8"/>
    <x v="5"/>
    <n v="51626"/>
    <m/>
    <m/>
    <m/>
    <m/>
    <m/>
    <m/>
  </r>
  <r>
    <x v="5"/>
    <x v="6"/>
    <n v="17"/>
    <n v="2.2000000000000002"/>
    <n v="1"/>
    <n v="1"/>
    <n v="12.6"/>
    <n v="0"/>
    <n v="0"/>
  </r>
  <r>
    <x v="6"/>
    <x v="6"/>
    <n v="15"/>
    <n v="2"/>
    <n v="2.2999999999999998"/>
    <n v="0"/>
    <n v="0"/>
    <n v="0"/>
    <n v="11"/>
  </r>
  <r>
    <x v="7"/>
    <x v="6"/>
    <n v="6.7"/>
    <n v="2.5"/>
    <n v="1.4"/>
    <n v="0"/>
    <n v="0"/>
    <n v="1"/>
    <n v="1.8"/>
  </r>
  <r>
    <x v="8"/>
    <x v="6"/>
    <n v="3.004"/>
    <m/>
    <m/>
    <m/>
    <m/>
    <m/>
    <m/>
  </r>
  <r>
    <x v="5"/>
    <x v="7"/>
    <n v="49.2"/>
    <m/>
    <m/>
    <m/>
    <m/>
    <m/>
    <m/>
  </r>
  <r>
    <x v="6"/>
    <x v="7"/>
    <n v="60.8"/>
    <m/>
    <m/>
    <m/>
    <m/>
    <m/>
    <m/>
  </r>
  <r>
    <x v="7"/>
    <x v="7"/>
    <n v="53.6"/>
    <m/>
    <m/>
    <m/>
    <m/>
    <m/>
    <m/>
  </r>
  <r>
    <x v="8"/>
    <x v="7"/>
    <n v="59.2"/>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4AE26F3-BB3D-4C6F-A379-3E7DEBECA6EC}" name="PivotTable14" cacheId="2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A5:B14" firstHeaderRow="1" firstDataRow="1" firstDataCol="1"/>
  <pivotFields count="9">
    <pivotField axis="axisRow" showAll="0">
      <items count="10">
        <item x="0"/>
        <item x="1"/>
        <item x="2"/>
        <item x="3"/>
        <item x="4"/>
        <item x="5"/>
        <item x="6"/>
        <item x="7"/>
        <item x="8"/>
        <item t="default"/>
      </items>
    </pivotField>
    <pivotField showAll="0">
      <items count="9">
        <item h="1" x="2"/>
        <item h="1" x="1"/>
        <item h="1" x="5"/>
        <item h="1" x="7"/>
        <item h="1" x="3"/>
        <item x="0"/>
        <item h="1" x="4"/>
        <item h="1" x="6"/>
        <item t="default"/>
      </items>
    </pivotField>
    <pivotField dataField="1" showAll="0"/>
    <pivotField showAll="0"/>
    <pivotField showAll="0"/>
    <pivotField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National Highways" fld="2" baseField="0" baseItem="0" numFmtId="3"/>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D5A3286-384F-4296-A77A-30794ABFAC74}" name="PivotTable20" cacheId="2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S5:T14" firstHeaderRow="1" firstDataRow="1" firstDataCol="1"/>
  <pivotFields count="9">
    <pivotField axis="axisRow" showAll="0">
      <items count="10">
        <item x="0"/>
        <item x="1"/>
        <item x="2"/>
        <item x="3"/>
        <item x="4"/>
        <item x="5"/>
        <item x="6"/>
        <item x="7"/>
        <item x="8"/>
        <item t="default"/>
      </items>
    </pivotField>
    <pivotField showAll="0">
      <items count="9">
        <item h="1" x="2"/>
        <item h="1" x="1"/>
        <item h="1" x="5"/>
        <item h="1" x="7"/>
        <item h="1" x="3"/>
        <item x="0"/>
        <item h="1" x="4"/>
        <item h="1" x="6"/>
        <item t="default"/>
      </items>
    </pivotField>
    <pivotField showAll="0"/>
    <pivotField showAll="0"/>
    <pivotField showAll="0"/>
    <pivotField showAll="0"/>
    <pivotField showAll="0"/>
    <pivotField showAll="0"/>
    <pivotField dataField="1" showAll="0"/>
  </pivotFields>
  <rowFields count="1">
    <field x="0"/>
  </rowFields>
  <rowItems count="9">
    <i>
      <x/>
    </i>
    <i>
      <x v="1"/>
    </i>
    <i>
      <x v="2"/>
    </i>
    <i>
      <x v="3"/>
    </i>
    <i>
      <x v="4"/>
    </i>
    <i>
      <x v="5"/>
    </i>
    <i>
      <x v="6"/>
    </i>
    <i>
      <x v="7"/>
    </i>
    <i>
      <x v="8"/>
    </i>
  </rowItems>
  <colItems count="1">
    <i/>
  </colItems>
  <dataFields count="1">
    <dataField name=" South West" fld="8" baseField="0" baseItem="0"/>
  </dataFields>
  <chartFormats count="2">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B0ABC5-9439-4C0D-9BC5-FD77F274D3F9}" name="PivotTable21" cacheId="2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2:H51" firstHeaderRow="0" firstDataRow="1" firstDataCol="1" rowPageCount="1" colPageCount="1"/>
  <pivotFields count="9">
    <pivotField axis="axisRow" showAll="0">
      <items count="10">
        <item x="0"/>
        <item x="1"/>
        <item x="2"/>
        <item x="3"/>
        <item x="4"/>
        <item x="5"/>
        <item x="6"/>
        <item x="7"/>
        <item x="8"/>
        <item t="default"/>
      </items>
    </pivotField>
    <pivotField axis="axisPage" multipleItemSelectionAllowed="1" showAll="0">
      <items count="9">
        <item h="1" x="2"/>
        <item h="1" x="1"/>
        <item h="1" x="5"/>
        <item h="1" x="7"/>
        <item h="1" x="3"/>
        <item x="0"/>
        <item h="1" x="4"/>
        <item h="1" x="6"/>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9">
    <i>
      <x/>
    </i>
    <i>
      <x v="1"/>
    </i>
    <i>
      <x v="2"/>
    </i>
    <i>
      <x v="3"/>
    </i>
    <i>
      <x v="4"/>
    </i>
    <i>
      <x v="5"/>
    </i>
    <i>
      <x v="6"/>
    </i>
    <i>
      <x v="7"/>
    </i>
    <i>
      <x v="8"/>
    </i>
  </rowItems>
  <colFields count="1">
    <field x="-2"/>
  </colFields>
  <colItems count="7">
    <i>
      <x/>
    </i>
    <i i="1">
      <x v="1"/>
    </i>
    <i i="2">
      <x v="2"/>
    </i>
    <i i="3">
      <x v="3"/>
    </i>
    <i i="4">
      <x v="4"/>
    </i>
    <i i="5">
      <x v="5"/>
    </i>
    <i i="6">
      <x v="6"/>
    </i>
  </colItems>
  <pageFields count="1">
    <pageField fld="1" hier="-1"/>
  </pageFields>
  <dataFields count="7">
    <dataField name=" Yorkshire and North East" fld="3" baseField="0" baseItem="0"/>
    <dataField name=" North West_x000a_" fld="4" baseField="0" baseItem="0"/>
    <dataField name=" Midlands_x000a_" fld="5" baseField="0" baseItem="0"/>
    <dataField name=" East_x000a_" fld="6" baseField="0" baseItem="0"/>
    <dataField name=" South East_x000a_" fld="7" baseField="0" baseItem="0"/>
    <dataField name=" South West_x000a_" fld="8" baseField="0" baseItem="0"/>
    <dataField name=" National Highway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73C96A-41FA-4324-A78C-3E755941F416}" name="PivotTable17" cacheId="2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J5:K14" firstHeaderRow="1" firstDataRow="1" firstDataCol="1"/>
  <pivotFields count="9">
    <pivotField axis="axisRow" showAll="0">
      <items count="10">
        <item x="0"/>
        <item x="1"/>
        <item x="2"/>
        <item x="3"/>
        <item x="4"/>
        <item x="5"/>
        <item x="6"/>
        <item x="7"/>
        <item x="8"/>
        <item t="default"/>
      </items>
    </pivotField>
    <pivotField showAll="0">
      <items count="9">
        <item h="1" x="2"/>
        <item h="1" x="1"/>
        <item h="1" x="5"/>
        <item h="1" x="7"/>
        <item h="1" x="3"/>
        <item x="0"/>
        <item h="1" x="4"/>
        <item h="1" x="6"/>
        <item t="default"/>
      </items>
    </pivotField>
    <pivotField showAll="0"/>
    <pivotField showAll="0"/>
    <pivotField showAll="0"/>
    <pivotField dataField="1"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Midlands" fld="5" baseField="0" baseItem="0" numFmtId="3"/>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1924CC8-0793-4711-8206-418D12FF5418}" name="PivotTable18" cacheId="2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M5:N14" firstHeaderRow="1" firstDataRow="1" firstDataCol="1"/>
  <pivotFields count="9">
    <pivotField axis="axisRow" showAll="0">
      <items count="10">
        <item x="0"/>
        <item x="1"/>
        <item x="2"/>
        <item x="3"/>
        <item x="4"/>
        <item x="5"/>
        <item x="6"/>
        <item x="7"/>
        <item x="8"/>
        <item t="default"/>
      </items>
    </pivotField>
    <pivotField showAll="0">
      <items count="9">
        <item h="1" x="2"/>
        <item h="1" x="1"/>
        <item h="1" x="5"/>
        <item h="1" x="7"/>
        <item h="1" x="3"/>
        <item x="0"/>
        <item h="1" x="4"/>
        <item h="1" x="6"/>
        <item t="default"/>
      </items>
    </pivotField>
    <pivotField showAll="0"/>
    <pivotField showAll="0"/>
    <pivotField showAll="0"/>
    <pivotField showAll="0"/>
    <pivotField dataField="1" showAll="0"/>
    <pivotField showAll="0"/>
    <pivotField showAll="0"/>
  </pivotFields>
  <rowFields count="1">
    <field x="0"/>
  </rowFields>
  <rowItems count="9">
    <i>
      <x/>
    </i>
    <i>
      <x v="1"/>
    </i>
    <i>
      <x v="2"/>
    </i>
    <i>
      <x v="3"/>
    </i>
    <i>
      <x v="4"/>
    </i>
    <i>
      <x v="5"/>
    </i>
    <i>
      <x v="6"/>
    </i>
    <i>
      <x v="7"/>
    </i>
    <i>
      <x v="8"/>
    </i>
  </rowItems>
  <colItems count="1">
    <i/>
  </colItems>
  <dataFields count="1">
    <dataField name=" East" fld="6" baseField="0" baseItem="0" numFmtId="3"/>
  </dataFields>
  <formats count="1">
    <format dxfId="4">
      <pivotArea outline="0" collapsedLevelsAreSubtotals="1" fieldPosition="0"/>
    </format>
  </formats>
  <chartFormats count="3">
    <chartFormat chart="3" format="20" series="1">
      <pivotArea type="data" outline="0" fieldPosition="0">
        <references count="1">
          <reference field="4294967294" count="1" selected="0">
            <x v="0"/>
          </reference>
        </references>
      </pivotArea>
    </chartFormat>
    <chartFormat chart="3" format="21">
      <pivotArea type="data" outline="0" fieldPosition="0">
        <references count="2">
          <reference field="4294967294" count="1" selected="0">
            <x v="0"/>
          </reference>
          <reference field="0" count="1" selected="0">
            <x v="5"/>
          </reference>
        </references>
      </pivotArea>
    </chartFormat>
    <chartFormat chart="3" format="22">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3DBA2CA-F609-4601-A036-EE4CC9D864A5}" name="PivotTable16" cacheId="2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G5:H14" firstHeaderRow="1" firstDataRow="1" firstDataCol="1"/>
  <pivotFields count="9">
    <pivotField axis="axisRow" showAll="0">
      <items count="10">
        <item x="0"/>
        <item x="1"/>
        <item x="2"/>
        <item x="3"/>
        <item x="4"/>
        <item x="5"/>
        <item x="6"/>
        <item x="7"/>
        <item x="8"/>
        <item t="default"/>
      </items>
    </pivotField>
    <pivotField showAll="0">
      <items count="9">
        <item h="1" x="2"/>
        <item h="1" x="1"/>
        <item h="1" x="5"/>
        <item h="1" x="7"/>
        <item h="1" x="3"/>
        <item x="0"/>
        <item h="1" x="4"/>
        <item h="1" x="6"/>
        <item t="default"/>
      </items>
    </pivotField>
    <pivotField showAll="0"/>
    <pivotField showAll="0"/>
    <pivotField dataField="1" showAll="0"/>
    <pivotField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North West" fld="4" baseField="0" baseItem="0" numFmtId="3"/>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EE3E3EF-E5E9-47AB-8237-E922E2795DD6}" name="PivotTable19" cacheId="2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P5:Q14" firstHeaderRow="1" firstDataRow="1" firstDataCol="1"/>
  <pivotFields count="9">
    <pivotField axis="axisRow" showAll="0">
      <items count="10">
        <item x="0"/>
        <item x="1"/>
        <item x="2"/>
        <item x="3"/>
        <item x="4"/>
        <item x="5"/>
        <item x="6"/>
        <item x="7"/>
        <item x="8"/>
        <item t="default"/>
      </items>
    </pivotField>
    <pivotField showAll="0">
      <items count="9">
        <item h="1" x="2"/>
        <item h="1" x="1"/>
        <item h="1" x="5"/>
        <item h="1" x="7"/>
        <item h="1" x="3"/>
        <item x="0"/>
        <item h="1" x="4"/>
        <item h="1" x="6"/>
        <item t="default"/>
      </items>
    </pivotField>
    <pivotField showAll="0"/>
    <pivotField showAll="0"/>
    <pivotField showAll="0"/>
    <pivotField showAll="0"/>
    <pivotField showAll="0"/>
    <pivotField dataField="1" showAll="0"/>
    <pivotField showAll="0"/>
  </pivotFields>
  <rowFields count="1">
    <field x="0"/>
  </rowFields>
  <rowItems count="9">
    <i>
      <x/>
    </i>
    <i>
      <x v="1"/>
    </i>
    <i>
      <x v="2"/>
    </i>
    <i>
      <x v="3"/>
    </i>
    <i>
      <x v="4"/>
    </i>
    <i>
      <x v="5"/>
    </i>
    <i>
      <x v="6"/>
    </i>
    <i>
      <x v="7"/>
    </i>
    <i>
      <x v="8"/>
    </i>
  </rowItems>
  <colItems count="1">
    <i/>
  </colItems>
  <dataFields count="1">
    <dataField name=" South East" fld="7" baseField="0" baseItem="0"/>
  </dataFields>
  <chartFormats count="11">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5"/>
          </reference>
        </references>
      </pivotArea>
    </chartFormat>
    <chartFormat chart="3" format="21">
      <pivotArea type="data" outline="0" fieldPosition="0">
        <references count="2">
          <reference field="4294967294" count="1" selected="0">
            <x v="0"/>
          </reference>
          <reference field="0" count="1" selected="0">
            <x v="6"/>
          </reference>
        </references>
      </pivotArea>
    </chartFormat>
    <chartFormat chart="3" format="22">
      <pivotArea type="data" outline="0" fieldPosition="0">
        <references count="2">
          <reference field="4294967294" count="1" selected="0">
            <x v="0"/>
          </reference>
          <reference field="0" count="1" selected="0">
            <x v="7"/>
          </reference>
        </references>
      </pivotArea>
    </chartFormat>
    <chartFormat chart="3" format="23">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8"/>
          </reference>
        </references>
      </pivotArea>
    </chartFormat>
    <chartFormat chart="3" format="25">
      <pivotArea type="data" outline="0" fieldPosition="0">
        <references count="2">
          <reference field="4294967294" count="1" selected="0">
            <x v="0"/>
          </reference>
          <reference field="0" count="1" selected="0">
            <x v="0"/>
          </reference>
        </references>
      </pivotArea>
    </chartFormat>
    <chartFormat chart="3" format="26">
      <pivotArea type="data" outline="0" fieldPosition="0">
        <references count="2">
          <reference field="4294967294" count="1" selected="0">
            <x v="0"/>
          </reference>
          <reference field="0" count="1" selected="0">
            <x v="1"/>
          </reference>
        </references>
      </pivotArea>
    </chartFormat>
    <chartFormat chart="3" format="27">
      <pivotArea type="data" outline="0" fieldPosition="0">
        <references count="2">
          <reference field="4294967294" count="1" selected="0">
            <x v="0"/>
          </reference>
          <reference field="0" count="1" selected="0">
            <x v="2"/>
          </reference>
        </references>
      </pivotArea>
    </chartFormat>
    <chartFormat chart="3" format="28">
      <pivotArea type="data" outline="0" fieldPosition="0">
        <references count="2">
          <reference field="4294967294" count="1" selected="0">
            <x v="0"/>
          </reference>
          <reference field="0" count="1" selected="0">
            <x v="3"/>
          </reference>
        </references>
      </pivotArea>
    </chartFormat>
    <chartFormat chart="3" format="29">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7BBBADC-FF5A-402D-A177-7E5BEF3B86D2}" name="PivotTable15" cacheId="2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D5:E14" firstHeaderRow="1" firstDataRow="1" firstDataCol="1"/>
  <pivotFields count="9">
    <pivotField axis="axisRow" showAll="0" defaultSubtotal="0">
      <items count="9">
        <item x="0"/>
        <item x="1"/>
        <item x="2"/>
        <item x="3"/>
        <item x="4"/>
        <item x="5"/>
        <item x="6"/>
        <item x="7"/>
        <item x="8"/>
      </items>
    </pivotField>
    <pivotField showAll="0">
      <items count="9">
        <item h="1" x="2"/>
        <item h="1" x="1"/>
        <item h="1" x="5"/>
        <item h="1" x="7"/>
        <item h="1" x="3"/>
        <item x="0"/>
        <item h="1" x="4"/>
        <item h="1" x="6"/>
        <item t="default"/>
      </items>
    </pivotField>
    <pivotField showAll="0"/>
    <pivotField dataField="1" showAll="0"/>
    <pivotField showAll="0"/>
    <pivotField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Yorkshire and North East" fld="3" baseField="0" baseItem="0" numFmtId="3"/>
  </dataFields>
  <formats count="2">
    <format dxfId="7">
      <pivotArea collapsedLevelsAreSubtotals="1" fieldPosition="0">
        <references count="1">
          <reference field="0" count="1">
            <x v="6"/>
          </reference>
        </references>
      </pivotArea>
    </format>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75CBB94-6FC3-4340-9DDC-A5D24E3D00DB}" sourceName="Year">
  <pivotTables>
    <pivotTable tabId="20" name="PivotTable14"/>
    <pivotTable tabId="20" name="PivotTable15"/>
    <pivotTable tabId="20" name="PivotTable16"/>
    <pivotTable tabId="20" name="PivotTable17"/>
    <pivotTable tabId="20" name="PivotTable18"/>
    <pivotTable tabId="20" name="PivotTable19"/>
    <pivotTable tabId="20" name="PivotTable20"/>
    <pivotTable tabId="20" name="PivotTable21"/>
  </pivotTables>
  <data>
    <tabular pivotCacheId="1094920591" showMissing="0">
      <items count="9">
        <i x="0" s="1"/>
        <i x="1" s="1"/>
        <i x="2" s="1"/>
        <i x="3" s="1"/>
        <i x="4" s="1"/>
        <i x="5" s="1"/>
        <i x="6" s="1"/>
        <i x="7" s="1"/>
        <i x="8"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1" xr10:uid="{3F9ECE6C-B60E-4688-9406-3A23691CCDB2}" sourceName="KPI">
  <pivotTables>
    <pivotTable tabId="20" name="PivotTable14"/>
    <pivotTable tabId="20" name="PivotTable21"/>
    <pivotTable tabId="20" name="PivotTable15"/>
    <pivotTable tabId="20" name="PivotTable16"/>
    <pivotTable tabId="20" name="PivotTable17"/>
    <pivotTable tabId="20" name="PivotTable18"/>
    <pivotTable tabId="20" name="PivotTable19"/>
    <pivotTable tabId="20" name="PivotTable20"/>
  </pivotTables>
  <data>
    <tabular pivotCacheId="1094920591" showMissing="0">
      <items count="8">
        <i x="2"/>
        <i x="1"/>
        <i x="5"/>
        <i x="7"/>
        <i x="3"/>
        <i x="0" s="1"/>
        <i x="4"/>
        <i x="6"/>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0CFC0DC7-7774-4054-966B-0296F27A6760}" cache="Slicer_Year1" caption="Year" columnCount="7" showCaption="0" rowHeight="241300"/>
  <slicer name="KPI" xr10:uid="{EEF733BA-B92C-4812-8A47-3B0DEDEF81D1}" cache="Slicer_KPI1" caption="KPI" columnCount="8"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10" totalsRowShown="0" dataDxfId="70">
  <tableColumns count="2">
    <tableColumn id="1" xr3:uid="{00000000-0010-0000-0100-000001000000}" name="Note number " dataDxfId="69"/>
    <tableColumn id="2" xr3:uid="{00000000-0010-0000-0100-000002000000}" name="Note text " dataDxfId="6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6E53DEE-F43D-4585-96FB-3E21C3A25843}" name="Table_4h" displayName="Table_4h" ref="A3:H8" totalsRowShown="0">
  <autoFilter ref="A3:H8" xr:uid="{D6E53DEE-F43D-4585-96FB-3E21C3A258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8496CBF-4F31-4FC8-9D28-38D9B153C9B3}" name="Time period" dataDxfId="15"/>
    <tableColumn id="2" xr3:uid="{D9D62222-F4CD-4E14-A998-0B78016F685C}" name="England's strategic road network_x000a_ (percentage)" dataDxfId="14"/>
    <tableColumn id="3" xr3:uid="{F1FC8C6A-ED5A-4B36-94FD-A00FB1B31676}" name="Yorkshire and North East_x000a_(percentage)" dataDxfId="13"/>
    <tableColumn id="4" xr3:uid="{0CE993C7-F842-4415-9E95-40541B0411E5}" name="North West_x000a_(percentage)" dataDxfId="12"/>
    <tableColumn id="5" xr3:uid="{4E514F1F-6E6F-452F-B8CD-D4BA09235943}" name="Midlands_x000a_(percentage)" dataDxfId="11"/>
    <tableColumn id="6" xr3:uid="{630CBC03-3D78-48AA-BBCF-4CC41D20E28F}" name="East_x000a_(percentage)" dataDxfId="10"/>
    <tableColumn id="7" xr3:uid="{A9666DCC-E8CE-4075-8BBB-91E1D98CE1B8}" name="South East_x000a_(percentage)" dataDxfId="9"/>
    <tableColumn id="8" xr3:uid="{5C1D1FE5-9021-40F7-9B19-BF3DEE32DD56}" name="South West_x000a_(percentage)" dataDxfId="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AAA46C2-58B6-4D69-B8B4-591A3BAA9DEF}" name="Data" displayName="Data" ref="C2:K44" totalsRowShown="0" headerRowDxfId="1">
  <autoFilter ref="C2:K44" xr:uid="{FAAA46C2-58B6-4D69-B8B4-591A3BAA9DEF}"/>
  <tableColumns count="9">
    <tableColumn id="1" xr3:uid="{B3559B5C-B51A-407B-85AF-3CA69B708E7E}" name="Year">
      <calculatedColumnFormula>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calculatedColumnFormula>
    </tableColumn>
    <tableColumn id="2" xr3:uid="{A463C5C4-F3AB-4E6D-B700-2FC7460A2D16}" name="KPI"/>
    <tableColumn id="3" xr3:uid="{6FEB44CB-EC77-4BEC-ABFA-96F666B9289A}" name="National Highways" dataDxfId="0"/>
    <tableColumn id="4" xr3:uid="{BB8954A1-AB7E-45C5-B5A4-0C07D090A121}" name="Yorkshire and North East"/>
    <tableColumn id="5" xr3:uid="{E90923E3-517A-49F6-893B-05498E7C695C}" name="North West_x000a_"/>
    <tableColumn id="6" xr3:uid="{5EBB2ED0-8300-4704-A6E5-F41684695581}" name="Midlands_x000a_"/>
    <tableColumn id="7" xr3:uid="{C4C9F157-232F-412A-B05E-7C2CEB039BFF}" name="East_x000a_"/>
    <tableColumn id="8" xr3:uid="{9D82DF29-2A8C-4FF1-807E-D4C2E0DB4AB8}" name="South East_x000a_"/>
    <tableColumn id="9" xr3:uid="{81CC03D3-1D69-4526-8C2A-A1AC75F98B20}" name="South West_x000a_"/>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11" totalsRowShown="0">
  <autoFilter ref="A3:B11" xr:uid="{A2E2B00C-F437-45B3-8503-7AA9961C3F10}">
    <filterColumn colId="0" hiddenButton="1"/>
    <filterColumn colId="1" hiddenButton="1"/>
  </autoFilter>
  <tableColumns count="2">
    <tableColumn id="1" xr3:uid="{557ED635-1147-439E-8F74-0D2BBB4D3AF5}" name="Worksheet name" dataDxfId="67"/>
    <tableColumn id="2" xr3:uid="{7C0BBB98-1A7D-4386-9200-AB6B86FDDAAE}" name="Worksheet title" dataDxfId="6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436A37-472D-4D51-B5A9-374686CD8D0C}" name="Table_4a" displayName="Table_4a" ref="A6:H16" totalsRowShown="0" headerRowDxfId="65" dataDxfId="64">
  <autoFilter ref="A6:H16" xr:uid="{C7436A37-472D-4D51-B5A9-374686CD8D0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B3CDD0F-83C7-41EA-8A24-385273264006}" name="Time period"/>
    <tableColumn id="2" xr3:uid="{233E4A4D-3E42-4CBD-A4E2-1758307ED0EB}" name="England's strategic road network _x000a_(Number of households within Noise Important Areas where noise has been reduced)" dataDxfId="63"/>
    <tableColumn id="3" xr3:uid="{26BBD0BD-A31D-423C-B01E-1F1413FA6840}" name="Yorkshire and North East_x000a_(Number of households within Noise Important Areas where noise has been reduced)" dataDxfId="62"/>
    <tableColumn id="4" xr3:uid="{89D79683-AA06-4B30-BEDA-28142801EBCC}" name="North West_x000a_(Number of households within Noise Important Areas where noise has been reduced)" dataDxfId="61"/>
    <tableColumn id="5" xr3:uid="{BEF71962-B425-4B69-A4A6-EC6B628BFBFD}" name="Midlands_x000a_(Number of households within Noise Important Areas where noise has been reduced)" dataDxfId="60"/>
    <tableColumn id="6" xr3:uid="{3A4D4B28-BBF4-4C3F-8F35-2C49790C8792}" name="East_x000a_(Number of households within Noise Important Areas where noise has been reduced)" dataDxfId="59"/>
    <tableColumn id="7" xr3:uid="{30FA0A99-E102-4A10-847E-458FCF1BBF03}" name="South East_x000a_(Number of households within Noise Important Areas where noise has been reduced)" dataDxfId="58"/>
    <tableColumn id="8" xr3:uid="{A9D21979-0939-4B86-A994-B9AB53F28AA8}" name="South West_x000a_(Number of households within Noise Important Areas where noise has been reduced)" dataDxfId="5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1CC65E-E923-4493-A56B-E1CBAEF5A6A5}" name="Table_4b" displayName="Table_4b" ref="A4:H9" totalsRowShown="0" headerRowDxfId="56" dataDxfId="55">
  <autoFilter ref="A4:H9" xr:uid="{C51CC65E-E923-4493-A56B-E1CBAEF5A6A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A147DDC-D5F9-4FBB-90DA-33411AAB6701}" name="Time period" dataDxfId="54"/>
    <tableColumn id="2" xr3:uid="{C36F3C2E-0473-4FAF-955A-00E0F1815DBC}" name="National Highways_x000a_(Biodiversity units delivered)" dataDxfId="53"/>
    <tableColumn id="3" xr3:uid="{0D9D2898-F132-4677-88A5-A05A4D5A1722}" name="Yorkshire and North East_x000a_(Biodiversity units delivered)" dataDxfId="52"/>
    <tableColumn id="4" xr3:uid="{00C38083-961C-4247-82A4-18528FA6B920}" name="North West_x000a_(Biodiversity units delivered)" dataDxfId="51"/>
    <tableColumn id="5" xr3:uid="{6D9ECC5B-ED56-4D43-B17C-1DFB8AE0BCBB}" name="Midlands_x000a_(Biodiversity units delivered)" dataDxfId="50"/>
    <tableColumn id="6" xr3:uid="{04EB3A0C-D67B-49DB-820A-C1933F95804A}" name="East_x000a_(Biodiversity units delivered)" dataDxfId="49"/>
    <tableColumn id="7" xr3:uid="{8E879DE1-ABC2-4918-AF9C-C47AFE4C9AC0}" name="South East_x000a_(Biodiversity units delivered)" dataDxfId="48"/>
    <tableColumn id="8" xr3:uid="{0791F459-C415-4BF2-ACA4-B6C005BB915F}" name="South West_x000a_(Biodiversity units delivered)" dataDxfId="4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C910B-CC6D-41E2-97B8-4916F1008775}" name="Table_4c" displayName="Table_4c" ref="A4:H9" totalsRowShown="0" headerRowDxfId="46" dataDxfId="45">
  <autoFilter ref="A4:H9" xr:uid="{000C910B-CC6D-41E2-97B8-4916F100877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3C2C14F-DC18-4836-9C64-B6192766AA8D}" name="Time period" dataDxfId="44"/>
    <tableColumn id="2" xr3:uid="{5DEBE759-52CA-43D9-BDFC-E00DB115120F}" name="England's strategic road network_x000a_(number of links in exceedance of the legal nitrogen dioxide (NO2) limits)" dataDxfId="43"/>
    <tableColumn id="3" xr3:uid="{C2973472-3CDD-4BA4-B0D9-0D1BA5656870}" name="Yorkshire and North East_x000a_(number of links in exceedance of the legal nitrogen dioxide (NO2) limits)" dataDxfId="42"/>
    <tableColumn id="4" xr3:uid="{DC473E75-BE73-44A6-9D93-F86CAF2D8362}" name="North West_x000a_(number of links in exceedance of the legal nitrogen dioxide (NO2) limits)" dataDxfId="41"/>
    <tableColumn id="5" xr3:uid="{F1AFD493-8248-49F1-B68A-37817CE8060E}" name="Midlands_x000a_(number of links in exceedance of the legal nitrogen dioxide (NO2) limits)" dataDxfId="40"/>
    <tableColumn id="6" xr3:uid="{6D213ED1-1325-4701-B26D-DA464358D0B6}" name="East_x000a_(number of links in exceedance of the legal nitrogen dioxide (NO2) limits)" dataDxfId="39"/>
    <tableColumn id="7" xr3:uid="{1E709425-F10A-4C6D-A019-F5D75CE88A8F}" name="South East_x000a_(number of  links in exceedance of the legal nitrogen dioxide (NO2) limits)" dataDxfId="38"/>
    <tableColumn id="8" xr3:uid="{7437ED8D-BC12-46A8-8989-D943DA957539}" name="South West_x000a_(number of links in exceedance of the legal nitrogen dioxide (NO2) limits)" dataDxfId="3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3391CF-76B3-4D46-A7DC-85299A85373D}" name="Table_4d" displayName="Table_4d" ref="A5:B10" totalsRowShown="0" headerRowDxfId="36" dataDxfId="35">
  <autoFilter ref="A5:B10" xr:uid="{373391CF-76B3-4D46-A7DC-85299A85373D}">
    <filterColumn colId="0" hiddenButton="1"/>
    <filterColumn colId="1" hiddenButton="1"/>
  </autoFilter>
  <tableColumns count="2">
    <tableColumn id="1" xr3:uid="{22D28656-B3CF-4738-AFE3-2CE30DF1D05C}" name="Time period" dataDxfId="34"/>
    <tableColumn id="2" xr3:uid="{4DBECD0D-65B6-415F-9203-E7167126A86B}" name="National Highways _x000a_(tonnes of CO2e)" dataDxfId="3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5BCBD20-2867-486D-BCEE-6DC2A9A17E34}" name="Table_4e" displayName="Table_4e" ref="A4:H14" totalsRowShown="0">
  <autoFilter ref="A4:H14" xr:uid="{25BCBD20-2867-486D-BCEE-6DC2A9A17E3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47E431-BA6E-4526-8B76-B0C0E87821F8}" name="Time period"/>
    <tableColumn id="2" xr3:uid="{B5050DCB-3760-4358-9D3A-D05F53E4D12D}" name="National Highways_x000a_(absolute tonnes CO2e)" dataDxfId="32"/>
    <tableColumn id="3" xr3:uid="{A664BF9F-4790-46C5-8DDE-8A3C91718E33}" name="Yorkshire and North East _x000a_(absolute tonnes CO2e)" dataDxfId="31"/>
    <tableColumn id="4" xr3:uid="{FB1E5305-7CCB-49F9-9BFC-5FE143E9914C}" name="North West_x000a_(absolute tonnes CO2e)" dataDxfId="30"/>
    <tableColumn id="5" xr3:uid="{9F68312E-AA3E-4059-BF91-04C9FC2A3A73}" name="Midlands_x000a_(absolute tonnes CO2e)" dataDxfId="29"/>
    <tableColumn id="6" xr3:uid="{17ECB59A-4864-496B-A4C9-EBFF144985BD}" name="East_x000a_(absolute tonnes CO2e)" dataDxfId="28"/>
    <tableColumn id="7" xr3:uid="{D3D880CB-5B05-476E-BF8D-B9BB59A9B1FD}" name="South East_x000a_(absolute tonnes CO2e)" dataDxfId="27"/>
    <tableColumn id="8" xr3:uid="{11995EB8-E933-4854-BC80-B90E5364AE5F}" name="South West_x000a_(absolute tonnes CO2e)" dataDxfId="2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F2944C-617F-4BF4-8860-8040353CBAE5}" name="Table_4f" displayName="Table_4f" ref="A3:B8" totalsRowShown="0">
  <autoFilter ref="A3:B8" xr:uid="{77F2944C-617F-4BF4-8860-8040353CBAE5}">
    <filterColumn colId="0" hiddenButton="1"/>
    <filterColumn colId="1" hiddenButton="1"/>
  </autoFilter>
  <tableColumns count="2">
    <tableColumn id="1" xr3:uid="{FA2D21E3-0F1C-4C34-9990-573A657701E2}" name="Time period" dataDxfId="25"/>
    <tableColumn id="2" xr3:uid="{2DBB2C53-08F7-4C41-96D9-F02A4C117AB8}" name="England's strategic road network_x000a_(numeric score)" dataDxfId="2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EFBB656-2CA5-447F-9A2A-253EC96EE786}" name="Table_4g" displayName="Table_4g" ref="A3:H8" totalsRowShown="0">
  <autoFilter ref="A3:H8" xr:uid="{9EFBB656-2CA5-447F-9A2A-253EC96EE78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EC1FA20-9C6F-4D1B-A6B8-1812E0FE8C00}" name="Time period" dataDxfId="23"/>
    <tableColumn id="2" xr3:uid="{EFBE6496-82E5-4D66-8688-A1FE24566EBE}" name="England's strategic road network_x000a_(km of watercourse enhanced)" dataDxfId="22"/>
    <tableColumn id="3" xr3:uid="{4BA99704-DC29-429F-985A-EE52C55A493C}" name="Yorkshire and North East _x000a_(km of watercourse enhanced)" dataDxfId="21"/>
    <tableColumn id="4" xr3:uid="{4113C401-0FBC-4C2B-9F27-1A9850010F0B}" name="North West_x000a_(km of watercourse enhanced)" dataDxfId="20"/>
    <tableColumn id="5" xr3:uid="{BFA08CED-4394-4CBF-A816-996431B7B7A6}" name="Midlands_x000a_(km of watercourse enhanced)" dataDxfId="19"/>
    <tableColumn id="6" xr3:uid="{E4A40674-1B41-4D6B-A7DA-E1C924BB117A}" name="East_x000a_(km of watercourse enhanced)" dataDxfId="18"/>
    <tableColumn id="7" xr3:uid="{4BDE07C8-25EB-4F4F-9ACB-9D9B786C95B8}" name="South East_x000a_(km of watercourse enhanced)" dataDxfId="17"/>
    <tableColumn id="8" xr3:uid="{9129666D-96CD-455A-A2A7-81904375FD0E}" name="South West_x000a_(km of watercourse enhanced)" dataDxfId="1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1sralyfr/2020-21-performance-monitoring-statements.xlsx" TargetMode="External"/><Relationship Id="rId13" Type="http://schemas.openxmlformats.org/officeDocument/2006/relationships/hyperlink" Target="https://nationalhighways.co.uk/media/hslebq5b/annual-regional-benchmarking-report-2023-2024-final.pdf" TargetMode="External"/><Relationship Id="rId3" Type="http://schemas.openxmlformats.org/officeDocument/2006/relationships/hyperlink" Target="mailto:highways.monitor@orr.gov.uk" TargetMode="External"/><Relationship Id="rId7" Type="http://schemas.openxmlformats.org/officeDocument/2006/relationships/hyperlink" Target="https://nationalhighways.co.uk/media/01sdbznz/2021-22-performance-monitoring-statements.xlsx" TargetMode="External"/><Relationship Id="rId12" Type="http://schemas.openxmlformats.org/officeDocument/2006/relationships/hyperlink" Target="https://nationalhighways.co.uk/media/fc5c5k0k/abr-v5-171023.pdf" TargetMode="External"/><Relationship Id="rId2" Type="http://schemas.openxmlformats.org/officeDocument/2006/relationships/hyperlink" Target="https://nationalhighways.co.uk/media/qe1cjb2b/nh-srn-simplified-map-2023.pdf" TargetMode="External"/><Relationship Id="rId1" Type="http://schemas.openxmlformats.org/officeDocument/2006/relationships/hyperlink" Target="https://nationalhighways.co.uk/media/5paempnz/ris2-omm-published-18-july-2023-final.pdf" TargetMode="External"/><Relationship Id="rId6" Type="http://schemas.openxmlformats.org/officeDocument/2006/relationships/hyperlink" Target="https://nationalhighways.co.uk/media/tx1hdslj/2022-23-performance-monitoring-statements.xlsx" TargetMode="External"/><Relationship Id="rId11" Type="http://schemas.openxmlformats.org/officeDocument/2006/relationships/hyperlink" Target="https://nationalhighways.co.uk/media/b0jdsyzl/2021-22-nh-regional-performance-disaggregation-final.xlsx" TargetMode="External"/><Relationship Id="rId5" Type="http://schemas.openxmlformats.org/officeDocument/2006/relationships/hyperlink" Target="https://nationalhighways.co.uk/media/hymao3xw/20240719-national-highways-performance-monitoring-statements-year-end-2023-24.pdf" TargetMode="External"/><Relationship Id="rId10" Type="http://schemas.openxmlformats.org/officeDocument/2006/relationships/hyperlink" Target="https://nationalhighways.co.uk/media/3smeti4y/2020-21-highways-england-regional-performance-disaggregation-1.xlsx" TargetMode="External"/><Relationship Id="rId4" Type="http://schemas.openxmlformats.org/officeDocument/2006/relationships/hyperlink" Target="https://nationalhighways.co.uk/media/hf3g525d/2024-25-national-highways-performance-monitoring-statements.pdf" TargetMode="External"/><Relationship Id="rId9" Type="http://schemas.openxmlformats.org/officeDocument/2006/relationships/hyperlink" Target="https://nationalhighways.co.uk/media/enoh0bhu/performance-monitoring-statements-2019-20.xlsm"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1.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2"/>
  <sheetViews>
    <sheetView tabSelected="1" zoomScaleNormal="100" workbookViewId="0"/>
  </sheetViews>
  <sheetFormatPr defaultColWidth="9" defaultRowHeight="15.5"/>
  <cols>
    <col min="1" max="1" width="156.54296875" style="3" customWidth="1"/>
    <col min="2" max="2" width="9" style="3" customWidth="1"/>
    <col min="3" max="3" width="10.54296875" style="3" bestFit="1" customWidth="1"/>
    <col min="4" max="16384" width="9" style="3"/>
  </cols>
  <sheetData>
    <row r="1" spans="1:1" customFormat="1" ht="30" customHeight="1">
      <c r="A1" s="82" t="s">
        <v>0</v>
      </c>
    </row>
    <row r="2" spans="1:1" customFormat="1" ht="354" customHeight="1">
      <c r="A2" s="1" t="s">
        <v>1</v>
      </c>
    </row>
    <row r="3" spans="1:1" customFormat="1" ht="87.75" customHeight="1">
      <c r="A3" s="1" t="s">
        <v>2</v>
      </c>
    </row>
    <row r="4" spans="1:1" customFormat="1" ht="93">
      <c r="A4" s="1" t="s">
        <v>3</v>
      </c>
    </row>
    <row r="5" spans="1:1" customFormat="1">
      <c r="A5" s="38" t="s">
        <v>4</v>
      </c>
    </row>
    <row r="6" spans="1:1" customFormat="1" ht="31">
      <c r="A6" s="1" t="s">
        <v>5</v>
      </c>
    </row>
    <row r="7" spans="1:1" customFormat="1">
      <c r="A7" s="1" t="s">
        <v>6</v>
      </c>
    </row>
    <row r="8" spans="1:1" customFormat="1">
      <c r="A8" s="28" t="s">
        <v>7</v>
      </c>
    </row>
    <row r="9" spans="1:1" customFormat="1" ht="18.5">
      <c r="A9" s="27" t="s">
        <v>8</v>
      </c>
    </row>
    <row r="10" spans="1:1" customFormat="1">
      <c r="A10" s="1" t="s">
        <v>9</v>
      </c>
    </row>
    <row r="11" spans="1:1" customFormat="1">
      <c r="A11" s="80" t="s">
        <v>10</v>
      </c>
    </row>
    <row r="12" spans="1:1" customFormat="1">
      <c r="A12" s="80" t="s">
        <v>11</v>
      </c>
    </row>
    <row r="13" spans="1:1" customFormat="1">
      <c r="A13" s="80" t="s">
        <v>12</v>
      </c>
    </row>
    <row r="14" spans="1:1" customFormat="1">
      <c r="A14" s="88" t="s">
        <v>13</v>
      </c>
    </row>
    <row r="15" spans="1:1" customFormat="1">
      <c r="A15" s="89" t="s">
        <v>14</v>
      </c>
    </row>
    <row r="16" spans="1:1" customFormat="1">
      <c r="A16" s="80" t="s">
        <v>15</v>
      </c>
    </row>
    <row r="17" spans="1:1" customFormat="1">
      <c r="A17" s="2" t="s">
        <v>16</v>
      </c>
    </row>
    <row r="18" spans="1:1" customFormat="1">
      <c r="A18" s="92" t="s">
        <v>17</v>
      </c>
    </row>
    <row r="19" spans="1:1" customFormat="1">
      <c r="A19" s="93" t="s">
        <v>18</v>
      </c>
    </row>
    <row r="20" spans="1:1" customFormat="1">
      <c r="A20" s="38" t="s">
        <v>19</v>
      </c>
    </row>
    <row r="21" spans="1:1" customFormat="1">
      <c r="A21" s="93" t="s">
        <v>20</v>
      </c>
    </row>
    <row r="22" spans="1:1" customFormat="1" ht="18.5">
      <c r="A22" s="29" t="s">
        <v>21</v>
      </c>
    </row>
    <row r="23" spans="1:1" customFormat="1">
      <c r="A23" s="18" t="s">
        <v>22</v>
      </c>
    </row>
    <row r="24" spans="1:1" customFormat="1" ht="18.5">
      <c r="A24" s="30" t="s">
        <v>23</v>
      </c>
    </row>
    <row r="25" spans="1:1" customFormat="1">
      <c r="A25" s="18" t="s">
        <v>24</v>
      </c>
    </row>
    <row r="26" spans="1:1" customFormat="1" ht="18.5">
      <c r="A26" s="30" t="s">
        <v>25</v>
      </c>
    </row>
    <row r="27" spans="1:1" customFormat="1">
      <c r="A27" s="18" t="s">
        <v>26</v>
      </c>
    </row>
    <row r="28" spans="1:1" customFormat="1" ht="18.5">
      <c r="A28" s="31" t="s">
        <v>27</v>
      </c>
    </row>
    <row r="29" spans="1:1" customFormat="1">
      <c r="A29" s="2" t="s">
        <v>28</v>
      </c>
    </row>
    <row r="30" spans="1:1" ht="18.5">
      <c r="A30" s="32" t="s">
        <v>29</v>
      </c>
    </row>
    <row r="31" spans="1:1">
      <c r="A31" s="33" t="s">
        <v>30</v>
      </c>
    </row>
    <row r="32" spans="1:1">
      <c r="A32" s="2" t="s">
        <v>31</v>
      </c>
    </row>
  </sheetData>
  <hyperlinks>
    <hyperlink ref="A8" r:id="rId1" xr:uid="{0E09E683-DBC1-4802-810C-3D3949D9629D}"/>
    <hyperlink ref="A5" r:id="rId2" display="National Highway's roads" xr:uid="{E0D25EBD-01F0-4A2F-9D0B-89F9377FA29E}"/>
    <hyperlink ref="A31" r:id="rId3" xr:uid="{D1187F94-1D0D-4172-82F6-43F91414015E}"/>
    <hyperlink ref="A11" r:id="rId4" xr:uid="{D46056CA-6A6E-4B60-936D-C4387BD4E628}"/>
    <hyperlink ref="A12" r:id="rId5" xr:uid="{8E6D59CE-E87E-43E3-9AAF-587E7D1827F2}"/>
    <hyperlink ref="A13" r:id="rId6" xr:uid="{6536FB37-D747-4B59-8699-B824C9E3C599}"/>
    <hyperlink ref="A14" r:id="rId7" xr:uid="{61852C2E-7F8D-4AB5-B975-573197A3210E}"/>
    <hyperlink ref="A15" r:id="rId8" xr:uid="{09AD45F2-3879-474B-A5C9-5D1632007B3B}"/>
    <hyperlink ref="A16" r:id="rId9" xr:uid="{F50E4349-118B-435C-8DC6-3AF12C13E4B5}"/>
    <hyperlink ref="A21" r:id="rId10" xr:uid="{C2FEFAB1-212E-4140-AD9D-59E672B7CCDD}"/>
    <hyperlink ref="A20" r:id="rId11" xr:uid="{C08FECE2-961B-4BFF-A009-CC0E7E587D02}"/>
    <hyperlink ref="A19" r:id="rId12" xr:uid="{561BC68E-AF01-43B3-BA66-B3E5EC96DDFE}"/>
    <hyperlink ref="A18" r:id="rId13" xr:uid="{92D794D0-FAA8-4E84-96DE-92FD7FA2B39F}"/>
  </hyperlinks>
  <pageMargins left="0.70000000000000007" right="0.70000000000000007" top="0.75" bottom="0.75" header="0.30000000000000004" footer="0.30000000000000004"/>
  <pageSetup paperSize="9" fitToWidth="0" fitToHeight="0" orientation="portrait"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EA73-6285-40E7-85D8-5D3752B81313}">
  <sheetPr codeName="Sheet10">
    <tabColor rgb="FF002060"/>
  </sheetPr>
  <dimension ref="A1:H8"/>
  <sheetViews>
    <sheetView zoomScaleNormal="100" workbookViewId="0"/>
  </sheetViews>
  <sheetFormatPr defaultRowHeight="14.5"/>
  <cols>
    <col min="1" max="1" width="50.54296875" customWidth="1"/>
    <col min="2" max="8" width="25.54296875" customWidth="1"/>
  </cols>
  <sheetData>
    <row r="1" spans="1:8" ht="30" customHeight="1">
      <c r="A1" s="63" t="s">
        <v>130</v>
      </c>
      <c r="B1" s="12"/>
      <c r="C1" s="12"/>
      <c r="D1" s="12"/>
      <c r="E1" s="12"/>
      <c r="F1" s="12"/>
      <c r="G1" s="12"/>
      <c r="H1" s="12"/>
    </row>
    <row r="2" spans="1:8" s="44" customFormat="1" ht="20.149999999999999" customHeight="1">
      <c r="A2" s="19" t="s">
        <v>51</v>
      </c>
    </row>
    <row r="3" spans="1:8" ht="62.5" customHeight="1">
      <c r="A3" s="10" t="s">
        <v>74</v>
      </c>
      <c r="B3" s="34" t="s">
        <v>131</v>
      </c>
      <c r="C3" s="22" t="s">
        <v>132</v>
      </c>
      <c r="D3" s="22" t="s">
        <v>133</v>
      </c>
      <c r="E3" s="22" t="s">
        <v>134</v>
      </c>
      <c r="F3" s="22" t="s">
        <v>135</v>
      </c>
      <c r="G3" s="22" t="s">
        <v>136</v>
      </c>
      <c r="H3" s="22" t="s">
        <v>137</v>
      </c>
    </row>
    <row r="4" spans="1:8" ht="20.149999999999999" customHeight="1">
      <c r="A4" s="10" t="s">
        <v>102</v>
      </c>
      <c r="B4" s="73">
        <v>17</v>
      </c>
      <c r="C4" s="36">
        <v>2.2000000000000002</v>
      </c>
      <c r="D4" s="36">
        <v>1</v>
      </c>
      <c r="E4" s="36">
        <v>1</v>
      </c>
      <c r="F4" s="36">
        <v>12.6</v>
      </c>
      <c r="G4" s="36">
        <v>0</v>
      </c>
      <c r="H4" s="36">
        <v>0</v>
      </c>
    </row>
    <row r="5" spans="1:8" ht="20.149999999999999" customHeight="1">
      <c r="A5" s="10" t="s">
        <v>89</v>
      </c>
      <c r="B5" s="73">
        <v>15</v>
      </c>
      <c r="C5" s="36">
        <v>2</v>
      </c>
      <c r="D5" s="36">
        <v>2.2999999999999998</v>
      </c>
      <c r="E5" s="36">
        <v>0</v>
      </c>
      <c r="F5" s="36">
        <v>0</v>
      </c>
      <c r="G5" s="36">
        <v>0</v>
      </c>
      <c r="H5" s="36">
        <v>11</v>
      </c>
    </row>
    <row r="6" spans="1:8" ht="20.5" customHeight="1">
      <c r="A6" s="10" t="s">
        <v>90</v>
      </c>
      <c r="B6" s="73">
        <v>6.7</v>
      </c>
      <c r="C6" s="36">
        <v>2.5</v>
      </c>
      <c r="D6" s="36">
        <v>1.4</v>
      </c>
      <c r="E6" s="36">
        <v>0</v>
      </c>
      <c r="F6" s="36">
        <v>0</v>
      </c>
      <c r="G6" s="36">
        <v>1</v>
      </c>
      <c r="H6" s="36">
        <v>1.8</v>
      </c>
    </row>
    <row r="7" spans="1:8" ht="20.5" customHeight="1">
      <c r="A7" s="10" t="s">
        <v>91</v>
      </c>
      <c r="B7" s="73">
        <v>3.004</v>
      </c>
      <c r="C7" s="36">
        <v>0</v>
      </c>
      <c r="D7" s="36">
        <v>3</v>
      </c>
      <c r="E7" s="36">
        <v>0</v>
      </c>
      <c r="F7" s="36">
        <v>0</v>
      </c>
      <c r="G7" s="36">
        <v>0</v>
      </c>
      <c r="H7" s="36">
        <v>0</v>
      </c>
    </row>
    <row r="8" spans="1:8" ht="20.25" customHeight="1">
      <c r="A8" s="10" t="s">
        <v>92</v>
      </c>
      <c r="B8" s="73">
        <v>16</v>
      </c>
      <c r="C8" s="36" t="s">
        <v>83</v>
      </c>
      <c r="D8" s="36" t="s">
        <v>83</v>
      </c>
      <c r="E8" s="36" t="s">
        <v>83</v>
      </c>
      <c r="F8" s="36" t="s">
        <v>83</v>
      </c>
      <c r="G8" s="36" t="s">
        <v>83</v>
      </c>
      <c r="H8" s="36" t="s">
        <v>83</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BBA22-FBD2-4B21-A2F0-62D3EAF16971}">
  <sheetPr codeName="Sheet11">
    <tabColor rgb="FF002060"/>
  </sheetPr>
  <dimension ref="A1:H8"/>
  <sheetViews>
    <sheetView zoomScaleNormal="100" workbookViewId="0"/>
  </sheetViews>
  <sheetFormatPr defaultRowHeight="14.5"/>
  <cols>
    <col min="1" max="1" width="50.54296875" customWidth="1"/>
    <col min="2" max="2" width="20.54296875" customWidth="1"/>
    <col min="3" max="3" width="33.453125" customWidth="1"/>
    <col min="4" max="8" width="20.54296875" customWidth="1"/>
  </cols>
  <sheetData>
    <row r="1" spans="1:8" ht="30" customHeight="1">
      <c r="A1" s="8" t="s">
        <v>138</v>
      </c>
      <c r="B1" s="8"/>
    </row>
    <row r="2" spans="1:8" s="44" customFormat="1" ht="20.149999999999999" customHeight="1">
      <c r="A2" s="19" t="s">
        <v>51</v>
      </c>
    </row>
    <row r="3" spans="1:8" ht="50.25" customHeight="1">
      <c r="A3" s="10" t="s">
        <v>74</v>
      </c>
      <c r="B3" s="34" t="s">
        <v>139</v>
      </c>
      <c r="C3" s="83" t="s">
        <v>140</v>
      </c>
      <c r="D3" s="83" t="s">
        <v>141</v>
      </c>
      <c r="E3" s="83" t="s">
        <v>142</v>
      </c>
      <c r="F3" s="83" t="s">
        <v>143</v>
      </c>
      <c r="G3" s="83" t="s">
        <v>144</v>
      </c>
      <c r="H3" s="83" t="s">
        <v>145</v>
      </c>
    </row>
    <row r="4" spans="1:8" ht="20.25" customHeight="1">
      <c r="A4" s="10" t="s">
        <v>102</v>
      </c>
      <c r="B4" s="85">
        <v>49.2</v>
      </c>
      <c r="C4" s="86">
        <v>48</v>
      </c>
      <c r="D4" s="86">
        <v>62</v>
      </c>
      <c r="E4" s="86">
        <v>38</v>
      </c>
      <c r="F4" s="86">
        <v>36</v>
      </c>
      <c r="G4" s="86">
        <v>55</v>
      </c>
      <c r="H4" s="86">
        <v>62</v>
      </c>
    </row>
    <row r="5" spans="1:8" ht="20.149999999999999" customHeight="1">
      <c r="A5" s="10" t="s">
        <v>89</v>
      </c>
      <c r="B5" s="85">
        <v>60.8</v>
      </c>
      <c r="C5" s="86">
        <v>82.3</v>
      </c>
      <c r="D5" s="86">
        <v>79</v>
      </c>
      <c r="E5" s="86">
        <v>47.6</v>
      </c>
      <c r="F5" s="86">
        <v>43.9</v>
      </c>
      <c r="G5" s="86">
        <v>57.7</v>
      </c>
      <c r="H5" s="86">
        <v>66.2</v>
      </c>
    </row>
    <row r="6" spans="1:8" ht="20.5" customHeight="1">
      <c r="A6" s="10" t="s">
        <v>90</v>
      </c>
      <c r="B6" s="85">
        <v>53.6</v>
      </c>
      <c r="C6" s="86">
        <v>55.2</v>
      </c>
      <c r="D6" s="86">
        <v>84</v>
      </c>
      <c r="E6" s="86">
        <v>33.5</v>
      </c>
      <c r="F6" s="86">
        <v>44</v>
      </c>
      <c r="G6" s="86">
        <v>57.5</v>
      </c>
      <c r="H6" s="86">
        <v>61</v>
      </c>
    </row>
    <row r="7" spans="1:8" ht="20.5" customHeight="1">
      <c r="A7" s="10" t="s">
        <v>91</v>
      </c>
      <c r="B7" s="85">
        <v>59.2</v>
      </c>
      <c r="C7" s="86">
        <v>68.900000000000006</v>
      </c>
      <c r="D7" s="86">
        <v>81.400000000000006</v>
      </c>
      <c r="E7" s="86">
        <v>42.6</v>
      </c>
      <c r="F7" s="86">
        <v>43.6</v>
      </c>
      <c r="G7" s="86">
        <v>59.8</v>
      </c>
      <c r="H7" s="86">
        <v>72.7</v>
      </c>
    </row>
    <row r="8" spans="1:8" ht="20.25" customHeight="1">
      <c r="A8" s="10" t="s">
        <v>92</v>
      </c>
      <c r="B8" s="85">
        <v>59.8</v>
      </c>
      <c r="C8" s="84" t="s">
        <v>83</v>
      </c>
      <c r="D8" s="84" t="s">
        <v>83</v>
      </c>
      <c r="E8" s="84" t="s">
        <v>83</v>
      </c>
      <c r="F8" s="84" t="s">
        <v>83</v>
      </c>
      <c r="G8" s="84" t="s">
        <v>83</v>
      </c>
      <c r="H8" s="84" t="s">
        <v>83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FB71-90DC-4695-8F1D-3DBE1245761E}">
  <sheetPr codeName="Sheet13">
    <tabColor rgb="FFFFC000"/>
  </sheetPr>
  <dimension ref="A4:T88"/>
  <sheetViews>
    <sheetView showGridLines="0" zoomScaleNormal="100" workbookViewId="0">
      <selection activeCell="B7" sqref="B7"/>
    </sheetView>
  </sheetViews>
  <sheetFormatPr defaultRowHeight="14.5"/>
  <cols>
    <col min="1" max="1" width="7.453125" bestFit="1" customWidth="1"/>
    <col min="2" max="2" width="22.453125" bestFit="1" customWidth="1"/>
    <col min="3" max="3" width="12.26953125" bestFit="1" customWidth="1"/>
    <col min="4" max="4" width="7.453125" bestFit="1" customWidth="1"/>
    <col min="5" max="5" width="22.453125" bestFit="1" customWidth="1"/>
    <col min="6" max="6" width="11.1796875" bestFit="1" customWidth="1"/>
    <col min="7" max="7" width="7.453125" bestFit="1" customWidth="1"/>
    <col min="8" max="8" width="11.1796875" bestFit="1" customWidth="1"/>
    <col min="9" max="9" width="10.54296875" bestFit="1" customWidth="1"/>
    <col min="10" max="10" width="7.453125" bestFit="1" customWidth="1"/>
    <col min="11" max="11" width="9.26953125" bestFit="1" customWidth="1"/>
    <col min="13" max="13" width="7.453125" bestFit="1" customWidth="1"/>
    <col min="14" max="14" width="4.81640625" bestFit="1" customWidth="1"/>
    <col min="15" max="15" width="11.54296875" bestFit="1" customWidth="1"/>
    <col min="16" max="16" width="7.453125" bestFit="1" customWidth="1"/>
    <col min="17" max="17" width="10.1796875" bestFit="1" customWidth="1"/>
    <col min="18" max="18" width="10.1796875" customWidth="1"/>
    <col min="19" max="19" width="7.453125" bestFit="1" customWidth="1"/>
    <col min="20" max="20" width="11.1796875" bestFit="1" customWidth="1"/>
    <col min="21" max="21" width="19.453125" bestFit="1" customWidth="1"/>
  </cols>
  <sheetData>
    <row r="4" spans="1:20">
      <c r="A4" s="43" t="s">
        <v>146</v>
      </c>
    </row>
    <row r="5" spans="1:20">
      <c r="A5" s="52" t="s">
        <v>147</v>
      </c>
      <c r="B5" t="s">
        <v>148</v>
      </c>
      <c r="D5" s="52" t="s">
        <v>147</v>
      </c>
      <c r="E5" t="s">
        <v>149</v>
      </c>
      <c r="G5" s="52" t="s">
        <v>147</v>
      </c>
      <c r="H5" t="s">
        <v>150</v>
      </c>
      <c r="J5" s="52" t="s">
        <v>147</v>
      </c>
      <c r="K5" t="s">
        <v>151</v>
      </c>
      <c r="M5" s="52" t="s">
        <v>147</v>
      </c>
      <c r="N5" t="s">
        <v>152</v>
      </c>
      <c r="P5" s="52" t="s">
        <v>147</v>
      </c>
      <c r="Q5" t="s">
        <v>153</v>
      </c>
      <c r="S5" s="52" t="s">
        <v>147</v>
      </c>
      <c r="T5" t="s">
        <v>154</v>
      </c>
    </row>
    <row r="6" spans="1:20">
      <c r="A6" s="44" t="s">
        <v>155</v>
      </c>
      <c r="B6" s="64">
        <v>62</v>
      </c>
      <c r="D6" s="44" t="s">
        <v>155</v>
      </c>
      <c r="E6" s="64"/>
      <c r="G6" s="44" t="s">
        <v>155</v>
      </c>
      <c r="H6" s="64"/>
      <c r="J6" s="44" t="s">
        <v>155</v>
      </c>
      <c r="K6" s="64"/>
      <c r="M6" s="44" t="s">
        <v>155</v>
      </c>
      <c r="N6" s="64"/>
      <c r="P6" s="44" t="s">
        <v>155</v>
      </c>
      <c r="S6" s="44" t="s">
        <v>155</v>
      </c>
    </row>
    <row r="7" spans="1:20">
      <c r="A7" s="44" t="s">
        <v>156</v>
      </c>
      <c r="B7" s="64">
        <v>141</v>
      </c>
      <c r="D7" s="44" t="s">
        <v>156</v>
      </c>
      <c r="E7" s="64"/>
      <c r="G7" s="44" t="s">
        <v>156</v>
      </c>
      <c r="H7" s="64"/>
      <c r="J7" s="44" t="s">
        <v>156</v>
      </c>
      <c r="K7" s="64"/>
      <c r="M7" s="44" t="s">
        <v>156</v>
      </c>
      <c r="N7" s="64"/>
      <c r="P7" s="44" t="s">
        <v>156</v>
      </c>
      <c r="S7" s="44" t="s">
        <v>156</v>
      </c>
    </row>
    <row r="8" spans="1:20">
      <c r="A8" s="44" t="s">
        <v>157</v>
      </c>
      <c r="B8" s="64">
        <v>448</v>
      </c>
      <c r="D8" s="44" t="s">
        <v>157</v>
      </c>
      <c r="E8" s="64"/>
      <c r="G8" s="44" t="s">
        <v>157</v>
      </c>
      <c r="H8" s="64"/>
      <c r="J8" s="44" t="s">
        <v>157</v>
      </c>
      <c r="K8" s="64"/>
      <c r="M8" s="44" t="s">
        <v>157</v>
      </c>
      <c r="N8" s="64"/>
      <c r="P8" s="44" t="s">
        <v>157</v>
      </c>
      <c r="S8" s="44" t="s">
        <v>157</v>
      </c>
    </row>
    <row r="9" spans="1:20">
      <c r="A9" s="44" t="s">
        <v>158</v>
      </c>
      <c r="B9" s="64">
        <v>300</v>
      </c>
      <c r="D9" s="44" t="s">
        <v>158</v>
      </c>
      <c r="E9" s="64"/>
      <c r="G9" s="44" t="s">
        <v>158</v>
      </c>
      <c r="H9" s="64"/>
      <c r="J9" s="44" t="s">
        <v>158</v>
      </c>
      <c r="K9" s="64"/>
      <c r="M9" s="44" t="s">
        <v>158</v>
      </c>
      <c r="N9" s="64"/>
      <c r="P9" s="44" t="s">
        <v>158</v>
      </c>
      <c r="S9" s="44" t="s">
        <v>158</v>
      </c>
    </row>
    <row r="10" spans="1:20">
      <c r="A10" s="44" t="s">
        <v>159</v>
      </c>
      <c r="B10" s="64">
        <v>223</v>
      </c>
      <c r="D10" s="44" t="s">
        <v>159</v>
      </c>
      <c r="E10" s="64"/>
      <c r="G10" s="44" t="s">
        <v>159</v>
      </c>
      <c r="H10" s="64"/>
      <c r="J10" s="44" t="s">
        <v>159</v>
      </c>
      <c r="K10" s="64"/>
      <c r="M10" s="44" t="s">
        <v>159</v>
      </c>
      <c r="N10" s="64"/>
      <c r="P10" s="44" t="s">
        <v>159</v>
      </c>
      <c r="S10" s="44" t="s">
        <v>159</v>
      </c>
    </row>
    <row r="11" spans="1:20">
      <c r="A11" s="44" t="s">
        <v>160</v>
      </c>
      <c r="B11" s="64">
        <v>2111</v>
      </c>
      <c r="D11" s="44" t="s">
        <v>160</v>
      </c>
      <c r="E11" s="64">
        <v>0</v>
      </c>
      <c r="G11" s="44" t="s">
        <v>160</v>
      </c>
      <c r="H11" s="64">
        <v>1528</v>
      </c>
      <c r="J11" s="44" t="s">
        <v>160</v>
      </c>
      <c r="K11" s="64">
        <v>25</v>
      </c>
      <c r="M11" s="44" t="s">
        <v>160</v>
      </c>
      <c r="N11" s="64">
        <v>2</v>
      </c>
      <c r="P11" s="44" t="s">
        <v>160</v>
      </c>
      <c r="Q11">
        <v>224</v>
      </c>
      <c r="S11" s="44" t="s">
        <v>160</v>
      </c>
      <c r="T11">
        <v>332</v>
      </c>
    </row>
    <row r="12" spans="1:20">
      <c r="A12" s="44" t="s">
        <v>161</v>
      </c>
      <c r="B12" s="64">
        <v>1067</v>
      </c>
      <c r="D12" s="44" t="s">
        <v>161</v>
      </c>
      <c r="E12" s="64">
        <v>311</v>
      </c>
      <c r="G12" s="44" t="s">
        <v>161</v>
      </c>
      <c r="H12" s="64">
        <v>1</v>
      </c>
      <c r="J12" s="44" t="s">
        <v>161</v>
      </c>
      <c r="K12" s="64">
        <v>0</v>
      </c>
      <c r="M12" s="44" t="s">
        <v>161</v>
      </c>
      <c r="N12" s="64">
        <v>0</v>
      </c>
      <c r="P12" s="44" t="s">
        <v>161</v>
      </c>
      <c r="Q12">
        <v>755</v>
      </c>
      <c r="S12" s="44" t="s">
        <v>161</v>
      </c>
      <c r="T12">
        <v>0</v>
      </c>
    </row>
    <row r="13" spans="1:20">
      <c r="A13" s="44" t="s">
        <v>162</v>
      </c>
      <c r="B13" s="64">
        <v>1029</v>
      </c>
      <c r="D13" s="44" t="s">
        <v>162</v>
      </c>
      <c r="E13" s="64">
        <v>126</v>
      </c>
      <c r="G13" s="44" t="s">
        <v>162</v>
      </c>
      <c r="H13" s="64">
        <v>442</v>
      </c>
      <c r="J13" s="44" t="s">
        <v>162</v>
      </c>
      <c r="K13" s="64">
        <v>46</v>
      </c>
      <c r="M13" s="44" t="s">
        <v>162</v>
      </c>
      <c r="N13" s="64">
        <v>0</v>
      </c>
      <c r="P13" s="44" t="s">
        <v>162</v>
      </c>
      <c r="Q13">
        <v>363</v>
      </c>
      <c r="S13" s="44" t="s">
        <v>162</v>
      </c>
      <c r="T13">
        <v>8</v>
      </c>
    </row>
    <row r="14" spans="1:20">
      <c r="A14" s="44" t="s">
        <v>163</v>
      </c>
      <c r="B14" s="64">
        <v>990</v>
      </c>
      <c r="D14" s="44" t="s">
        <v>163</v>
      </c>
      <c r="E14" s="64"/>
      <c r="G14" s="44" t="s">
        <v>163</v>
      </c>
      <c r="H14" s="64"/>
      <c r="J14" s="44" t="s">
        <v>163</v>
      </c>
      <c r="K14" s="64"/>
      <c r="M14" s="44" t="s">
        <v>163</v>
      </c>
      <c r="N14" s="64"/>
      <c r="P14" s="44" t="s">
        <v>163</v>
      </c>
      <c r="S14" s="44" t="s">
        <v>163</v>
      </c>
    </row>
    <row r="23" spans="1:1">
      <c r="A23" s="45" t="str">
        <f>IF(B40="Noise","The number of households within Noise Important Areas where noise has been reduced (KPI).",IF(B40="Biodiversity","Deliver no net loss of biodiversity, measured using an industry standard way of measuring biodiversity changes referred to as the biodiversity metric (KPI).",IF(B40="Air Quality","The number of links in exceedance of the legal nitrogen dioxide (NO2) limits as set by the European Union and accepted by the government (KPI).",IF(B40="National Highways carbon emissions","National Highways carbon emissions (KPI).",IF(B40="Supply chain carbon emissions","The carbon footprint associated with National Highways’ supply chain and also normalised by the volume of work undertaken. (PI).",IF(B40="Condition of Cultural Heritage assets","The overall condition of the culturally significant assets owned by Highways England (PI).",IF(B40="Water quality","The length of watercourse enhanced through the mitigation of medium, high, and very high-risk outfalls as well as through other enhancements such as river retraining/rewilding (PI).",IF(B40="Litter","The percentage of the strategic road network where litter is graded at A or B as defined in the code of practice on litter and refuse 2006 (PI)."))))))))</f>
        <v>The number of households within Noise Important Areas where noise has been reduced (KPI).</v>
      </c>
    </row>
    <row r="24" spans="1:1">
      <c r="A24" s="45" t="str">
        <f>IF(B40="Noise","National-level target for road period 2: 7,500 households benefitting from noise reduction in mitigated Noise Important Areas.",IF(B40="Biodiversity","National-level target for road period 2: Achieve no net loss of biodiversity, across all National Highways activities, by the end of road period 2.",IF(B40="Air Quality","National-level target for road period 2: Bring links based on the Pollution Climate Mapping model into compliance with legal nitrogen (NO2) limits in the shortest timescales possible.",IF(B40="National Highways carbon emissions","National-level target: Reduce National Highways's carbon emission as a result of electricity consumption, fuel use and other day-to-day operational activities by 75% at the end of RP2, compared to 2017-18.",""))))</f>
        <v>National-level target for road period 2: 7,500 households benefitting from noise reduction in mitigated Noise Important Areas.</v>
      </c>
    </row>
    <row r="25" spans="1:1">
      <c r="A25" s="45" t="str">
        <f>IF(B40="Noise","Measure: Number. ***Change in traffic demand and methodology.",IF(B40="Biodiversity","Measure: Biodiversity units.",IF(B40="Air Quality","Measure: The number of links in exceedance of the legal nitrogen dioxide (NO2) limits.",IF(B40="National Highways carbon emissions","Measure: Tonnes of CO2e.",IF(B40="Supply chain carbon emissions","Measure: Absolute tonnes CO2e. ***Excludes DBFO contracts.",IF(B40="Condition of Cultural Heritage assets","Measure: Numeric score. The larger the figure, the better overall condition of the culturally significant assets.",IF(B40="Water quality","Measure: Kilometres of watercourse enhanced",IF(B40="Litter","Measure: Percentage. The cleanliness of the SRN in accordance with the Code of practice on litter and refuse. "))))))))</f>
        <v>Measure: Number. ***Change in traffic demand and methodology.</v>
      </c>
    </row>
    <row r="26" spans="1:1">
      <c r="A26" s="45" t="str">
        <f>IF(B40="Litter","percentage points","")</f>
        <v/>
      </c>
    </row>
    <row r="39" spans="1:8">
      <c r="B39" t="s">
        <v>164</v>
      </c>
      <c r="C39" t="s">
        <v>165</v>
      </c>
      <c r="D39" t="s">
        <v>166</v>
      </c>
      <c r="E39" t="s">
        <v>167</v>
      </c>
      <c r="F39" t="s">
        <v>168</v>
      </c>
      <c r="G39" t="s">
        <v>169</v>
      </c>
      <c r="H39" t="s">
        <v>170</v>
      </c>
    </row>
    <row r="40" spans="1:8">
      <c r="A40" s="52" t="s">
        <v>171</v>
      </c>
      <c r="B40" t="s">
        <v>172</v>
      </c>
    </row>
    <row r="42" spans="1:8">
      <c r="A42" s="52" t="s">
        <v>147</v>
      </c>
      <c r="B42" t="s">
        <v>149</v>
      </c>
      <c r="C42" t="s">
        <v>173</v>
      </c>
      <c r="D42" t="s">
        <v>174</v>
      </c>
      <c r="E42" t="s">
        <v>175</v>
      </c>
      <c r="F42" t="s">
        <v>176</v>
      </c>
      <c r="G42" t="s">
        <v>177</v>
      </c>
      <c r="H42" t="s">
        <v>148</v>
      </c>
    </row>
    <row r="43" spans="1:8">
      <c r="A43" s="44" t="s">
        <v>155</v>
      </c>
      <c r="H43">
        <v>62</v>
      </c>
    </row>
    <row r="44" spans="1:8">
      <c r="A44" s="44" t="s">
        <v>156</v>
      </c>
      <c r="H44">
        <v>141</v>
      </c>
    </row>
    <row r="45" spans="1:8">
      <c r="A45" s="44" t="s">
        <v>157</v>
      </c>
      <c r="H45">
        <v>448</v>
      </c>
    </row>
    <row r="46" spans="1:8">
      <c r="A46" s="44" t="s">
        <v>158</v>
      </c>
      <c r="H46">
        <v>300</v>
      </c>
    </row>
    <row r="47" spans="1:8">
      <c r="A47" s="44" t="s">
        <v>159</v>
      </c>
      <c r="H47">
        <v>223</v>
      </c>
    </row>
    <row r="48" spans="1:8">
      <c r="A48" s="44" t="s">
        <v>160</v>
      </c>
      <c r="B48">
        <v>0</v>
      </c>
      <c r="C48">
        <v>1528</v>
      </c>
      <c r="D48">
        <v>25</v>
      </c>
      <c r="E48">
        <v>2</v>
      </c>
      <c r="F48">
        <v>224</v>
      </c>
      <c r="G48">
        <v>332</v>
      </c>
      <c r="H48">
        <v>2111</v>
      </c>
    </row>
    <row r="49" spans="1:13">
      <c r="A49" s="44" t="s">
        <v>161</v>
      </c>
      <c r="B49">
        <v>311</v>
      </c>
      <c r="C49">
        <v>1</v>
      </c>
      <c r="D49">
        <v>0</v>
      </c>
      <c r="E49">
        <v>0</v>
      </c>
      <c r="F49">
        <v>755</v>
      </c>
      <c r="G49">
        <v>0</v>
      </c>
      <c r="H49">
        <v>1067</v>
      </c>
    </row>
    <row r="50" spans="1:13">
      <c r="A50" s="44" t="s">
        <v>162</v>
      </c>
      <c r="B50">
        <v>126</v>
      </c>
      <c r="C50">
        <v>442</v>
      </c>
      <c r="D50">
        <v>46</v>
      </c>
      <c r="E50">
        <v>0</v>
      </c>
      <c r="F50">
        <v>363</v>
      </c>
      <c r="G50">
        <v>8</v>
      </c>
      <c r="H50">
        <v>1029</v>
      </c>
    </row>
    <row r="51" spans="1:13">
      <c r="A51" s="44" t="s">
        <v>163</v>
      </c>
      <c r="H51">
        <v>990</v>
      </c>
    </row>
    <row r="59" spans="1:13" ht="15" thickBot="1">
      <c r="A59" s="46" t="str">
        <f>INDEX(A43:A58,MATCH("*",A43:A58,-1))</f>
        <v>2023-24</v>
      </c>
      <c r="B59" s="47">
        <f>VLOOKUP(A59,$A$43:$H$58,2)</f>
        <v>0</v>
      </c>
      <c r="C59" s="47">
        <f>VLOOKUP(A59,$A$43:$H$58,3)</f>
        <v>0</v>
      </c>
      <c r="D59" s="47">
        <f>VLOOKUP(A59,$A$43:$H$58,4)</f>
        <v>0</v>
      </c>
      <c r="E59" s="47">
        <f>VLOOKUP(A59,$A$43:$H$58,5)</f>
        <v>0</v>
      </c>
      <c r="F59" s="47">
        <f>VLOOKUP(A59,$A$43:$H$58,6)</f>
        <v>0</v>
      </c>
      <c r="G59" s="47">
        <f>VLOOKUP(A59,$A$43:$H$58,7)</f>
        <v>0</v>
      </c>
      <c r="H59" s="48">
        <f>VLOOKUP(A59,$A$43:$H$58,8)</f>
        <v>990</v>
      </c>
      <c r="I59" s="60" t="s">
        <v>178</v>
      </c>
    </row>
    <row r="61" spans="1:13">
      <c r="E61" t="s">
        <v>179</v>
      </c>
    </row>
    <row r="62" spans="1:13">
      <c r="A62" t="s">
        <v>180</v>
      </c>
      <c r="B62" s="49" t="str">
        <f>IFERROR(IF(MAX(B59:G59)=0,"",MAX(B59:G59)),"")</f>
        <v/>
      </c>
      <c r="E62" s="50" t="e">
        <f>(B62/$H$59)</f>
        <v>#VALUE!</v>
      </c>
      <c r="F62" t="s">
        <v>181</v>
      </c>
      <c r="H62" t="s">
        <v>182</v>
      </c>
      <c r="I62" s="50" t="e">
        <f>ABS(E62)</f>
        <v>#VALUE!</v>
      </c>
      <c r="K62" t="e">
        <f>TEXT(I62,"0.00")&amp;" "&amp;A26</f>
        <v>#VALUE!</v>
      </c>
    </row>
    <row r="63" spans="1:13">
      <c r="A63" t="s">
        <v>183</v>
      </c>
      <c r="B63" s="49" t="str">
        <f>IFERROR(IF(B62="","",MIN(B59:G59)),"")</f>
        <v/>
      </c>
      <c r="E63" s="50" t="e">
        <f>(B63/$H$59)</f>
        <v>#VALUE!</v>
      </c>
      <c r="F63" t="e">
        <f>IF(E63&gt;=0," performed better by","performed worse by")</f>
        <v>#VALUE!</v>
      </c>
      <c r="H63" s="51" t="s">
        <v>182</v>
      </c>
      <c r="I63" s="50" t="e">
        <f>ABS(E63)</f>
        <v>#VALUE!</v>
      </c>
      <c r="K63" t="e">
        <f>TEXT(I63,"0.00")&amp;" "&amp;A26</f>
        <v>#VALUE!</v>
      </c>
    </row>
    <row r="64" spans="1:13">
      <c r="C64" s="49"/>
      <c r="E64" t="s">
        <v>184</v>
      </c>
      <c r="M64" s="51"/>
    </row>
    <row r="65" spans="1:13">
      <c r="A65" t="s">
        <v>180</v>
      </c>
      <c r="B65" t="str" cm="1">
        <f t="array" ref="B65">IFERROR(IF(B62,INDEX($B$39:$G$39,SUMPRODUCT(MAX(($B$42:$G$58=B62)*(COLUMN($B$42:$G$58))))-COLUMN($B$42)+1),""),"")</f>
        <v/>
      </c>
      <c r="E65" s="49" t="e">
        <f>B62-$H$59</f>
        <v>#VALUE!</v>
      </c>
      <c r="F65" t="e">
        <f>IF(E65&gt;0," was higher by "," was lower by ")</f>
        <v>#VALUE!</v>
      </c>
      <c r="H65" t="s">
        <v>182</v>
      </c>
      <c r="I65" s="50" t="e">
        <f>ABS(E65)</f>
        <v>#VALUE!</v>
      </c>
      <c r="M65" s="51"/>
    </row>
    <row r="66" spans="1:13">
      <c r="A66" t="s">
        <v>183</v>
      </c>
      <c r="B66" s="71" t="str">
        <f>IFERROR(INDEX(B39:G39,MATCH(B63,B59:G59,0))," ")</f>
        <v xml:space="preserve"> </v>
      </c>
      <c r="E66" s="49" t="e">
        <f>B63-$H$59</f>
        <v>#VALUE!</v>
      </c>
      <c r="F66" t="e">
        <f>IF(E66&gt;0," was higher by "," was lower by ")</f>
        <v>#VALUE!</v>
      </c>
      <c r="H66" s="51" t="s">
        <v>182</v>
      </c>
      <c r="I66" s="50" t="e">
        <f>ABS(E66)</f>
        <v>#VALUE!</v>
      </c>
    </row>
    <row r="68" spans="1:13">
      <c r="A68" t="s">
        <v>185</v>
      </c>
      <c r="B68" t="str">
        <f>IF(B40="Air Quality",B66,IF(B40="Water quality","N/A",IF(B40="Noise",B65,IF(B40="Supply chain carbon emissions",B66,B65))))</f>
        <v/>
      </c>
    </row>
    <row r="69" spans="1:13">
      <c r="A69" t="s">
        <v>186</v>
      </c>
      <c r="B69" t="str">
        <f>IF(B40="Air Quality",B65,IF(B40="Water Quality","N/A",IF(B40="Noise",B66,IF(B40="Supply chain carbon emissions",B65,B66))))</f>
        <v xml:space="preserve"> </v>
      </c>
    </row>
    <row r="71" spans="1:13">
      <c r="A71" s="71" t="str">
        <f>IFERROR(IF(B40="Water Quality",A76,IF(B40="Supply chain carbon emissions",A77,IF(B40="Noise",A74,IF(AND(B40="Noise",B63=0),A75,IF(AND(B63&gt;0,B40="Air Quality"),A72,IF(AND(B40="Air Quality",B63=0),A73,"Note: data only available at a national level.")))))),"Note: data only available at a national level.")</f>
        <v>Note: data only available at a national level.</v>
      </c>
    </row>
    <row r="72" spans="1:13" s="65" customFormat="1">
      <c r="A72" s="71" t="str">
        <f>IF(B40="Air Quality","The "&amp;B69&amp;F62&amp;TEXT(B62,"0"&amp;" ")&amp;"of all legal nitrogen dioxide limit exceeded across all regions, while the "&amp;B68&amp;" region accounts for "&amp;TEXT(K63,"0.0%"&amp;" "),"Note: data only available at a national level.")</f>
        <v>Note: data only available at a national level.</v>
      </c>
    </row>
    <row r="73" spans="1:13" s="65" customFormat="1">
      <c r="A73" s="71" t="str">
        <f>IF(AND(B63=0,B40="Air Quality"),"The "&amp;B69&amp;F62&amp;TEXT(B62,"0"&amp;" ")&amp;"of the links in exceedance of legal NO2 limits. In the "&amp;B68&amp;", there were no links in exceedance.","Note: data only available at a national level.")</f>
        <v>Note: data only available at a national level.</v>
      </c>
    </row>
    <row r="74" spans="1:13">
      <c r="A74" s="71" t="e">
        <f>IF(B40="Noise","The "&amp;B65&amp;""&amp;F62&amp;TEXT(K62,"0.0%"&amp;" ")&amp;"of all households within Noise Important Areas where noise has been reduced across all regions, while the "&amp;B66&amp;" region accounts for "&amp;TEXT(K63,"0.0%"&amp;" ."),"Note: data only available at a national level.")</f>
        <v>#VALUE!</v>
      </c>
    </row>
    <row r="75" spans="1:13">
      <c r="A75" s="71" t="str">
        <f>IF(AND(E59=0,G59=0,B63=0,B40="Noise"),"In the "&amp;B65&amp;","&amp;B62&amp;" households benefited from noise mitigation. No mitigation was delivered in the Midlands, East and South West.","Note: data only available at a national level.")</f>
        <v>Note: data only available at a national level.</v>
      </c>
    </row>
    <row r="76" spans="1:13">
      <c r="A76" t="str">
        <f>IF(B40="Water Quality","In the "&amp;B65&amp;", "&amp;B62&amp;"km of watercourse was enhanced. No enhacement was delivered in the Midlands, East and South East.","Note: data only available at a national level.")</f>
        <v>Note: data only available at a national level.</v>
      </c>
    </row>
    <row r="77" spans="1:13">
      <c r="A77" t="str">
        <f>IF(B40="Supply chain carbon emissions","The "&amp;B68&amp;F62&amp;TEXT(K63,"0.0%"&amp;" ")&amp;"of absolute tonnes CO2e, while the "&amp;B69&amp;" region accounts for "&amp;TEXT(K62,"0.0%"&amp;"."),"Note: data only available at a national level.")</f>
        <v>Note: data only available at a national level.</v>
      </c>
    </row>
    <row r="79" spans="1:13" ht="16.5">
      <c r="A79" s="70" t="str">
        <f>IFERROR("Compared to National Highways,"&amp;" "&amp;"the"&amp;B67&amp;""&amp;""&amp;F61&amp;" "&amp;TEXT(K61,"0.0%"&amp;" ")&amp;" while"&amp;""&amp;B68&amp;""&amp;" "&amp;F62&amp;" "&amp;TEXT(K62,"0.0%")&amp;" .","Note: data only available at a national level.")</f>
        <v>Note: data only available at a national level.</v>
      </c>
    </row>
    <row r="83" spans="1:8">
      <c r="A83" s="90" t="str">
        <f>A72</f>
        <v>Note: data only available at a national level.</v>
      </c>
      <c r="B83" s="90"/>
      <c r="C83" s="90"/>
      <c r="D83" s="90"/>
      <c r="E83" s="90"/>
      <c r="F83" s="90"/>
    </row>
    <row r="84" spans="1:8">
      <c r="A84" s="90"/>
      <c r="B84" s="90"/>
      <c r="C84" s="90"/>
      <c r="D84" s="90"/>
      <c r="E84" s="90"/>
      <c r="F84" s="90"/>
    </row>
    <row r="87" spans="1:8" ht="15" customHeight="1">
      <c r="A87" s="91" t="e">
        <f>"The"&amp;B69&amp;" "&amp;F62&amp;TEXT(K62,"0.0%"&amp;" ")</f>
        <v>#VALUE!</v>
      </c>
      <c r="B87" s="91"/>
      <c r="C87" s="91"/>
      <c r="D87" s="91"/>
      <c r="E87" s="91"/>
      <c r="F87" s="91"/>
      <c r="G87" s="91"/>
      <c r="H87" s="91"/>
    </row>
    <row r="88" spans="1:8">
      <c r="A88" s="91"/>
      <c r="B88" s="91"/>
      <c r="C88" s="91"/>
      <c r="D88" s="91"/>
      <c r="E88" s="91"/>
      <c r="F88" s="91"/>
      <c r="G88" s="91"/>
      <c r="H88" s="91"/>
    </row>
  </sheetData>
  <mergeCells count="2">
    <mergeCell ref="A83:F84"/>
    <mergeCell ref="A87:H88"/>
  </mergeCells>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5B1DB-7E4A-4E75-A70B-6A34C00141C9}">
  <sheetPr codeName="Sheet12">
    <tabColor rgb="FFFFC000"/>
  </sheetPr>
  <dimension ref="A2:K44"/>
  <sheetViews>
    <sheetView topLeftCell="A8" zoomScaleNormal="100" workbookViewId="0">
      <selection activeCell="E41" sqref="E41:E44"/>
    </sheetView>
  </sheetViews>
  <sheetFormatPr defaultRowHeight="14.5"/>
  <cols>
    <col min="1" max="1" width="22" bestFit="1" customWidth="1"/>
    <col min="2" max="2" width="32" bestFit="1" customWidth="1"/>
    <col min="4" max="4" width="31.1796875" customWidth="1"/>
    <col min="5" max="5" width="17" customWidth="1"/>
    <col min="6" max="6" width="22" customWidth="1"/>
  </cols>
  <sheetData>
    <row r="2" spans="1:11" s="53" customFormat="1" ht="39">
      <c r="A2" s="53" t="s">
        <v>187</v>
      </c>
      <c r="B2" s="53" t="s">
        <v>188</v>
      </c>
      <c r="C2" s="54" t="s">
        <v>147</v>
      </c>
      <c r="D2" s="55" t="s">
        <v>171</v>
      </c>
      <c r="E2" s="56" t="s">
        <v>170</v>
      </c>
      <c r="F2" s="57" t="s">
        <v>189</v>
      </c>
      <c r="G2" s="57" t="s">
        <v>190</v>
      </c>
      <c r="H2" s="57" t="s">
        <v>191</v>
      </c>
      <c r="I2" s="57" t="s">
        <v>192</v>
      </c>
      <c r="J2" s="57" t="s">
        <v>193</v>
      </c>
      <c r="K2" s="58" t="s">
        <v>194</v>
      </c>
    </row>
    <row r="3" spans="1:11">
      <c r="A3" t="str">
        <f>LEFT(Table_4a!$A$1,8)</f>
        <v>Table 4a</v>
      </c>
      <c r="B3" t="str">
        <f>Table_4a!A7</f>
        <v>April 2015 to March 2016</v>
      </c>
      <c r="C3" t="str">
        <f>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f>
        <v>2015-16</v>
      </c>
      <c r="D3" t="s">
        <v>172</v>
      </c>
      <c r="E3" s="62">
        <f>VLOOKUP($B3,Table_4a[#All],COLUMN(E$1)-3,FALSE)</f>
        <v>62</v>
      </c>
      <c r="F3" s="59"/>
      <c r="G3" s="59"/>
      <c r="H3" s="59"/>
      <c r="I3" s="59"/>
      <c r="J3" s="59"/>
      <c r="K3" s="59"/>
    </row>
    <row r="4" spans="1:11">
      <c r="A4" t="str">
        <f>LEFT(Table_4a!$A$1,8)</f>
        <v>Table 4a</v>
      </c>
      <c r="B4" t="str">
        <f>Table_4a!A8</f>
        <v>April 2016 to March 2017</v>
      </c>
      <c r="C4" t="str">
        <f t="shared" ref="C4:C44" si="0">IF(ISNUMBER(SEARCH("2015",B4)),"2015-16",IF(ISNUMBER(SEARCH("2016",B4)),"2016-17",IF(ISNUMBER(SEARCH("2017",B4)),"2017-18",IF(ISNUMBER(SEARCH("2018",B4)),"2018-19",IF(ISNUMBER(SEARCH("2019",B4)),"2019-20",IF(ISNUMBER(SEARCH("2020",B4)),"2020-21",IF(ISNUMBER(SEARCH("2021",B4)),"2021-22",IF(ISNUMBER(SEARCH("2022",B4)),"2022-23",IF(ISNUMBER(SEARCH("2023",B4)),"2023-24",IF(ISNUMBER(SEARCH("2024",B4)),"2024-25",IF(ISNUMBER(SEARCH("2025",B4)),"2025-26","")))))))))))</f>
        <v>2016-17</v>
      </c>
      <c r="D4" t="s">
        <v>172</v>
      </c>
      <c r="E4" s="62">
        <f>VLOOKUP($B4,Table_4a[#All],COLUMN(E$1)-3,FALSE)</f>
        <v>141</v>
      </c>
      <c r="F4" s="59"/>
      <c r="G4" s="59"/>
      <c r="H4" s="59"/>
      <c r="I4" s="59"/>
      <c r="J4" s="59"/>
      <c r="K4" s="59"/>
    </row>
    <row r="5" spans="1:11">
      <c r="A5" t="str">
        <f>LEFT(Table_4a!$A$1,8)</f>
        <v>Table 4a</v>
      </c>
      <c r="B5" t="str">
        <f>Table_4a!A9</f>
        <v>April 2017 to March 2018</v>
      </c>
      <c r="C5" t="str">
        <f t="shared" si="0"/>
        <v>2017-18</v>
      </c>
      <c r="D5" t="s">
        <v>172</v>
      </c>
      <c r="E5" s="62">
        <f>VLOOKUP($B5,Table_4a[#All],COLUMN(E$1)-3,FALSE)</f>
        <v>448</v>
      </c>
      <c r="F5" s="59"/>
      <c r="G5" s="59"/>
      <c r="H5" s="59"/>
      <c r="I5" s="59"/>
      <c r="J5" s="59"/>
      <c r="K5" s="59"/>
    </row>
    <row r="6" spans="1:11">
      <c r="A6" t="str">
        <f>LEFT(Table_4a!$A$1,8)</f>
        <v>Table 4a</v>
      </c>
      <c r="B6" t="str">
        <f>Table_4a!A10</f>
        <v>April 2018 to March 2019</v>
      </c>
      <c r="C6" t="str">
        <f t="shared" si="0"/>
        <v>2018-19</v>
      </c>
      <c r="D6" t="s">
        <v>172</v>
      </c>
      <c r="E6" s="62">
        <f>VLOOKUP($B6,Table_4a[#All],COLUMN(E$1)-3,FALSE)</f>
        <v>300</v>
      </c>
      <c r="F6" s="59"/>
      <c r="G6" s="59"/>
      <c r="H6" s="59"/>
      <c r="I6" s="59"/>
      <c r="J6" s="59"/>
      <c r="K6" s="59"/>
    </row>
    <row r="7" spans="1:11">
      <c r="A7" t="str">
        <f>LEFT(Table_4a!$A$1,8)</f>
        <v>Table 4a</v>
      </c>
      <c r="B7" t="str">
        <f>Table_4a!A11</f>
        <v>April 2019 to March 2020</v>
      </c>
      <c r="C7" t="str">
        <f t="shared" si="0"/>
        <v>2019-20</v>
      </c>
      <c r="D7" t="s">
        <v>172</v>
      </c>
      <c r="E7" s="62">
        <f>VLOOKUP($B7,Table_4a[#All],COLUMN(E$1)-3,FALSE)</f>
        <v>223</v>
      </c>
      <c r="F7" s="59"/>
      <c r="G7" s="59"/>
      <c r="H7" s="59"/>
      <c r="I7" s="59"/>
      <c r="J7" s="59"/>
      <c r="K7" s="59"/>
    </row>
    <row r="8" spans="1:11">
      <c r="A8" t="str">
        <f>LEFT(Table_4a!$A$1,8)</f>
        <v>Table 4a</v>
      </c>
      <c r="B8" t="str">
        <f>Table_4a!A12</f>
        <v>April 2020 to March 2021 [b]</v>
      </c>
      <c r="C8" t="str">
        <f t="shared" si="0"/>
        <v>2020-21</v>
      </c>
      <c r="D8" t="s">
        <v>172</v>
      </c>
      <c r="E8" s="62">
        <f>VLOOKUP($B8,Table_4a[#All],COLUMN(E$1)-3,FALSE)</f>
        <v>2111</v>
      </c>
      <c r="F8" s="62">
        <v>0</v>
      </c>
      <c r="G8" s="62">
        <v>1528</v>
      </c>
      <c r="H8" s="62">
        <v>25</v>
      </c>
      <c r="I8" s="62">
        <v>2</v>
      </c>
      <c r="J8" s="62">
        <v>224</v>
      </c>
      <c r="K8" s="62">
        <v>332</v>
      </c>
    </row>
    <row r="9" spans="1:11">
      <c r="A9" t="str">
        <f>LEFT(Table_4a!$A$1,8)</f>
        <v>Table 4a</v>
      </c>
      <c r="B9" t="str">
        <f>Table_4a!A13</f>
        <v>April 2021 to March 2022</v>
      </c>
      <c r="C9" t="str">
        <f t="shared" si="0"/>
        <v>2021-22</v>
      </c>
      <c r="D9" t="s">
        <v>172</v>
      </c>
      <c r="E9" s="62">
        <f>VLOOKUP($B9,Table_4a[#All],COLUMN(E$1)-3,FALSE)</f>
        <v>1067</v>
      </c>
      <c r="F9" s="62">
        <v>311</v>
      </c>
      <c r="G9" s="62">
        <v>1</v>
      </c>
      <c r="H9" s="62">
        <v>0</v>
      </c>
      <c r="I9" s="62">
        <v>0</v>
      </c>
      <c r="J9" s="62">
        <v>755</v>
      </c>
      <c r="K9" s="62">
        <v>0</v>
      </c>
    </row>
    <row r="10" spans="1:11">
      <c r="A10" t="str">
        <f>LEFT(Table_4a!$A$1,8)</f>
        <v>Table 4a</v>
      </c>
      <c r="B10" t="str">
        <f>Table_4a!A14</f>
        <v>April 2022 to March 2023</v>
      </c>
      <c r="C10" t="str">
        <f t="shared" si="0"/>
        <v>2022-23</v>
      </c>
      <c r="D10" t="s">
        <v>172</v>
      </c>
      <c r="E10" s="62">
        <v>1029</v>
      </c>
      <c r="F10" s="62">
        <v>126</v>
      </c>
      <c r="G10" s="62">
        <v>442</v>
      </c>
      <c r="H10" s="62">
        <v>46</v>
      </c>
      <c r="I10" s="62">
        <v>0</v>
      </c>
      <c r="J10" s="62">
        <v>363</v>
      </c>
      <c r="K10" s="62">
        <v>8</v>
      </c>
    </row>
    <row r="11" spans="1:11">
      <c r="A11" t="str">
        <f>LEFT(Table_4a!$A$1,8)</f>
        <v>Table 4a</v>
      </c>
      <c r="B11" t="str">
        <f>Table_4a!A15</f>
        <v>April 2023 to March 2024</v>
      </c>
      <c r="C11" t="str">
        <f>IF(ISNUMBER(SEARCH("2015",B11)),"2015-16",IF(ISNUMBER(SEARCH("2016",B11)),"2016-17",IF(ISNUMBER(SEARCH("2017",B11)),"2017-18",IF(ISNUMBER(SEARCH("2018",B11)),"2018-19",IF(ISNUMBER(SEARCH("2019",B11)),"2019-20",IF(ISNUMBER(SEARCH("2020",B11)),"2020-21",IF(ISNUMBER(SEARCH("2021",B11)),"2021-22",IF(ISNUMBER(SEARCH("2022",B11)),"2022-23",IF(ISNUMBER(SEARCH("2023",B11)),"2023-24",IF(ISNUMBER(SEARCH("2024",B11)),"2024-25",IF(ISNUMBER(SEARCH("2025",B11)),"2025-26","")))))))))))</f>
        <v>2023-24</v>
      </c>
      <c r="D11" t="s">
        <v>172</v>
      </c>
      <c r="E11" s="62">
        <v>990</v>
      </c>
      <c r="F11" s="62"/>
      <c r="G11" s="62"/>
      <c r="H11" s="62"/>
      <c r="I11" s="62"/>
      <c r="J11" s="62"/>
      <c r="K11" s="62"/>
    </row>
    <row r="12" spans="1:11">
      <c r="A12" t="str">
        <f>LEFT(Table_4b!$A$1,8)</f>
        <v>Table 4b</v>
      </c>
      <c r="B12" t="str">
        <f>Table_4b!A5</f>
        <v xml:space="preserve">April 2020 to March 2021 </v>
      </c>
      <c r="C12" t="str">
        <f t="shared" si="0"/>
        <v>2020-21</v>
      </c>
      <c r="D12" t="s">
        <v>195</v>
      </c>
      <c r="E12" s="62">
        <f>VLOOKUP($B12,Table_4b[#All],COLUMN(E$1)-3,FALSE)</f>
        <v>147</v>
      </c>
      <c r="F12" s="59"/>
      <c r="G12" s="59"/>
      <c r="H12" s="59"/>
      <c r="I12" s="59"/>
      <c r="J12" s="59"/>
      <c r="K12" s="59"/>
    </row>
    <row r="13" spans="1:11">
      <c r="A13" t="str">
        <f>LEFT(Table_4b!$A$1,8)</f>
        <v>Table 4b</v>
      </c>
      <c r="B13" t="str">
        <f>Table_4b!A6</f>
        <v>April 2021 to March 2022</v>
      </c>
      <c r="C13" t="str">
        <f t="shared" si="0"/>
        <v>2021-22</v>
      </c>
      <c r="D13" t="s">
        <v>195</v>
      </c>
      <c r="E13" s="62">
        <f>VLOOKUP($B13,Table_4b[#All],COLUMN(E$1)-3,FALSE)</f>
        <v>364</v>
      </c>
      <c r="F13" s="59"/>
      <c r="G13" s="59"/>
      <c r="H13" s="59"/>
      <c r="I13" s="59"/>
      <c r="J13" s="59"/>
      <c r="K13" s="59"/>
    </row>
    <row r="14" spans="1:11">
      <c r="A14" t="str">
        <f>LEFT(Table_4b!$A$1,8)</f>
        <v>Table 4b</v>
      </c>
      <c r="B14" t="str">
        <f>Table_4b!A7</f>
        <v>April 2022 to March 2023</v>
      </c>
      <c r="C14" t="str">
        <f t="shared" si="0"/>
        <v>2022-23</v>
      </c>
      <c r="D14" t="s">
        <v>195</v>
      </c>
      <c r="E14" s="62">
        <f>VLOOKUP($B14,Table_4b[#All],COLUMN(E$1)-3,FALSE)</f>
        <v>1622</v>
      </c>
      <c r="F14" s="59"/>
      <c r="G14" s="59"/>
      <c r="H14" s="59"/>
      <c r="I14" s="59"/>
      <c r="J14" s="59"/>
      <c r="K14" s="59"/>
    </row>
    <row r="15" spans="1:11">
      <c r="B15" t="str">
        <f>Table_4b!A8</f>
        <v>April 2023 to March 2024</v>
      </c>
      <c r="C15" t="str">
        <f>IF(ISNUMBER(SEARCH("2015",B15)),"2015-16",IF(ISNUMBER(SEARCH("2016",B15)),"2016-17",IF(ISNUMBER(SEARCH("2017",B15)),"2017-18",IF(ISNUMBER(SEARCH("2018",B15)),"2018-19",IF(ISNUMBER(SEARCH("2019",B15)),"2019-20",IF(ISNUMBER(SEARCH("2020",B15)),"2020-21",IF(ISNUMBER(SEARCH("2021",B15)),"2021-22",IF(ISNUMBER(SEARCH("2022",B15)),"2022-23",IF(ISNUMBER(SEARCH("2023",B15)),"2023-24",IF(ISNUMBER(SEARCH("2024",B15)),"2024-25",IF(ISNUMBER(SEARCH("2025",B15)),"2025-26","")))))))))))</f>
        <v>2023-24</v>
      </c>
      <c r="D15" t="s">
        <v>195</v>
      </c>
      <c r="E15" s="62">
        <f>VLOOKUP($B15,Table_4b[#All],COLUMN(E$1)-3,FALSE)</f>
        <v>2389</v>
      </c>
      <c r="F15" s="59"/>
      <c r="G15" s="59"/>
      <c r="H15" s="59"/>
      <c r="I15" s="59"/>
      <c r="J15" s="59"/>
      <c r="K15" s="59"/>
    </row>
    <row r="16" spans="1:11">
      <c r="A16" t="str">
        <f>LEFT(Table_4c!$A$1,8)</f>
        <v>Table 4c</v>
      </c>
      <c r="B16" t="str">
        <f>Table_4c!A5</f>
        <v xml:space="preserve">April 2020 to March 2021 </v>
      </c>
      <c r="C16" t="str">
        <f t="shared" si="0"/>
        <v>2020-21</v>
      </c>
      <c r="D16" t="s">
        <v>196</v>
      </c>
      <c r="E16" s="62">
        <f>VLOOKUP($B16,Table_4c[#All],COLUMN(E$1)-3,FALSE)</f>
        <v>31</v>
      </c>
      <c r="F16" s="59">
        <f>VLOOKUP($B16,Table_4c[#All],COLUMN(F$1)-3,FALSE)</f>
        <v>7</v>
      </c>
      <c r="G16" s="59">
        <f>VLOOKUP($B16,Table_4c[#All],COLUMN(G$1)-3,FALSE)</f>
        <v>2</v>
      </c>
      <c r="H16" s="59">
        <f>VLOOKUP($B16,Table_4c[#All],COLUMN(H$1)-3,FALSE)</f>
        <v>11</v>
      </c>
      <c r="I16" s="59">
        <f>VLOOKUP($B16,Table_4c[#All],COLUMN(I$1)-3,FALSE)</f>
        <v>0</v>
      </c>
      <c r="J16" s="59">
        <f>VLOOKUP($B16,Table_4c[#All],COLUMN(J$1)-3,FALSE)</f>
        <v>8</v>
      </c>
      <c r="K16" s="59">
        <f>VLOOKUP($B16,Table_4c[#All],COLUMN(K$1)-3,FALSE)</f>
        <v>3</v>
      </c>
    </row>
    <row r="17" spans="1:11">
      <c r="A17" t="str">
        <f>LEFT(Table_4c!$A$1,8)</f>
        <v>Table 4c</v>
      </c>
      <c r="B17" t="str">
        <f>Table_4c!A6</f>
        <v>April 2021 to March 2022</v>
      </c>
      <c r="C17" t="str">
        <f t="shared" si="0"/>
        <v>2021-22</v>
      </c>
      <c r="D17" t="s">
        <v>196</v>
      </c>
      <c r="E17" s="62">
        <f>VLOOKUP($B17,Table_4c[#All],COLUMN(E$1)-3,FALSE)</f>
        <v>31</v>
      </c>
      <c r="F17" s="59">
        <f>VLOOKUP($B17,Table_4c[#All],COLUMN(F$1)-3,FALSE)</f>
        <v>7</v>
      </c>
      <c r="G17" s="59">
        <f>VLOOKUP($B17,Table_4c[#All],COLUMN(G$1)-3,FALSE)</f>
        <v>2</v>
      </c>
      <c r="H17" s="59">
        <f>VLOOKUP($B17,Table_4c[#All],COLUMN(H$1)-3,FALSE)</f>
        <v>11</v>
      </c>
      <c r="I17" s="59">
        <f>VLOOKUP($B17,Table_4c[#All],COLUMN(I$1)-3,FALSE)</f>
        <v>0</v>
      </c>
      <c r="J17" s="59">
        <f>VLOOKUP($B17,Table_4c[#All],COLUMN(J$1)-3,FALSE)</f>
        <v>8</v>
      </c>
      <c r="K17" s="59">
        <f>VLOOKUP($B17,Table_4c[#All],COLUMN(K$1)-3,FALSE)</f>
        <v>3</v>
      </c>
    </row>
    <row r="18" spans="1:11">
      <c r="A18" t="str">
        <f>LEFT(Table_4c!$A$1,8)</f>
        <v>Table 4c</v>
      </c>
      <c r="B18" t="str">
        <f>Table_4c!A7</f>
        <v>April 2022 to March 2023</v>
      </c>
      <c r="C18" t="str">
        <f t="shared" si="0"/>
        <v>2022-23</v>
      </c>
      <c r="D18" t="s">
        <v>196</v>
      </c>
      <c r="E18" s="62">
        <f>VLOOKUP($B18,Table_4c[#All],COLUMN(E$1)-3,FALSE)</f>
        <v>43</v>
      </c>
      <c r="F18" s="59">
        <f>VLOOKUP($B18,Table_4c[#All],COLUMN(F$1)-3,FALSE)</f>
        <v>10</v>
      </c>
      <c r="G18" s="59">
        <f>VLOOKUP($B18,Table_4c[#All],COLUMN(G$1)-3,FALSE)</f>
        <v>10</v>
      </c>
      <c r="H18" s="59">
        <f>VLOOKUP($B18,Table_4c[#All],COLUMN(H$1)-3,FALSE)</f>
        <v>11</v>
      </c>
      <c r="I18" s="59">
        <f>VLOOKUP($B18,Table_4c[#All],COLUMN(I$1)-3,FALSE)</f>
        <v>0</v>
      </c>
      <c r="J18" s="59">
        <f>VLOOKUP($B18,Table_4c[#All],COLUMN(J$1)-3,FALSE)</f>
        <v>9</v>
      </c>
      <c r="K18" s="59">
        <f>VLOOKUP($B18,Table_4c[#All],COLUMN(K$1)-3,FALSE)</f>
        <v>3</v>
      </c>
    </row>
    <row r="19" spans="1:11">
      <c r="B19" t="str">
        <f>Table_4c!A8</f>
        <v>April 2023 to March 2024</v>
      </c>
      <c r="C19" t="str">
        <f>IF(ISNUMBER(SEARCH("2015",B19)),"2015-16",IF(ISNUMBER(SEARCH("2016",B19)),"2016-17",IF(ISNUMBER(SEARCH("2017",B19)),"2017-18",IF(ISNUMBER(SEARCH("2018",B19)),"2018-19",IF(ISNUMBER(SEARCH("2019",B19)),"2019-20",IF(ISNUMBER(SEARCH("2020",B19)),"2020-21",IF(ISNUMBER(SEARCH("2021",B19)),"2021-22",IF(ISNUMBER(SEARCH("2022",B19)),"2022-23",IF(ISNUMBER(SEARCH("2023",B19)),"2023-24",IF(ISNUMBER(SEARCH("2024",B19)),"2024-25",IF(ISNUMBER(SEARCH("2025",B19)),"2025-26","")))))))))))</f>
        <v>2023-24</v>
      </c>
      <c r="D19" t="s">
        <v>196</v>
      </c>
      <c r="E19" s="62">
        <v>30</v>
      </c>
      <c r="F19" s="59"/>
      <c r="G19" s="59"/>
      <c r="H19" s="59"/>
      <c r="I19" s="59"/>
      <c r="J19" s="59"/>
      <c r="K19" s="59"/>
    </row>
    <row r="20" spans="1:11">
      <c r="A20" t="str">
        <f>LEFT(Table_4d!$A$1,8)</f>
        <v>Table 4d</v>
      </c>
      <c r="B20" t="str">
        <f>Table_4d!A6</f>
        <v>April 2020 to March 2021</v>
      </c>
      <c r="C20" t="str">
        <f t="shared" si="0"/>
        <v>2020-21</v>
      </c>
      <c r="D20" t="s">
        <v>197</v>
      </c>
      <c r="E20" s="62"/>
      <c r="F20" s="59"/>
      <c r="G20" s="59"/>
      <c r="H20" s="59"/>
      <c r="I20" s="59"/>
      <c r="J20" s="59"/>
      <c r="K20" s="59"/>
    </row>
    <row r="21" spans="1:11">
      <c r="A21" t="str">
        <f>LEFT(Table_4d!$A$1,8)</f>
        <v>Table 4d</v>
      </c>
      <c r="B21" t="str">
        <f>Table_4d!A7</f>
        <v>April 2021 to March 2022</v>
      </c>
      <c r="C21" t="str">
        <f t="shared" si="0"/>
        <v>2021-22</v>
      </c>
      <c r="D21" t="s">
        <v>197</v>
      </c>
      <c r="E21" s="62">
        <f>VLOOKUP($B21,Table_4d[#All],COLUMN(E$1)-3,FALSE)</f>
        <v>37178</v>
      </c>
      <c r="F21" s="59"/>
      <c r="G21" s="59"/>
      <c r="H21" s="59"/>
      <c r="I21" s="59"/>
      <c r="J21" s="59"/>
      <c r="K21" s="59"/>
    </row>
    <row r="22" spans="1:11">
      <c r="A22" t="str">
        <f>LEFT(Table_4d!$A$1,8)</f>
        <v>Table 4d</v>
      </c>
      <c r="B22" t="str">
        <f>Table_4d!A8</f>
        <v>April 2022 to March 2023</v>
      </c>
      <c r="C22" t="str">
        <f t="shared" si="0"/>
        <v>2022-23</v>
      </c>
      <c r="D22" t="s">
        <v>197</v>
      </c>
      <c r="E22" s="62">
        <f>VLOOKUP($B22,Table_4d[#All],COLUMN(E$1)-3,FALSE)</f>
        <v>44809</v>
      </c>
      <c r="F22" s="59"/>
      <c r="G22" s="59"/>
      <c r="H22" s="59"/>
      <c r="I22" s="59"/>
      <c r="J22" s="59"/>
      <c r="K22" s="59"/>
    </row>
    <row r="23" spans="1:11">
      <c r="B23" t="str">
        <f>Table_4d!A9</f>
        <v>April 2023 to March 2024</v>
      </c>
      <c r="C23" t="str">
        <f>IF(ISNUMBER(SEARCH("2015",B23)),"2015-16",IF(ISNUMBER(SEARCH("2016",B23)),"2016-17",IF(ISNUMBER(SEARCH("2017",B23)),"2017-18",IF(ISNUMBER(SEARCH("2018",B23)),"2018-19",IF(ISNUMBER(SEARCH("2019",B23)),"2019-20",IF(ISNUMBER(SEARCH("2020",B23)),"2020-21",IF(ISNUMBER(SEARCH("2021",B23)),"2021-22",IF(ISNUMBER(SEARCH("2022",B23)),"2022-23",IF(ISNUMBER(SEARCH("2023",B23)),"2023-24",IF(ISNUMBER(SEARCH("2024",B23)),"2024-25",IF(ISNUMBER(SEARCH("2025",B23)),"2025-26","")))))))))))</f>
        <v>2023-24</v>
      </c>
      <c r="D23" t="s">
        <v>197</v>
      </c>
      <c r="E23" s="62">
        <v>45266</v>
      </c>
      <c r="F23" s="59"/>
      <c r="G23" s="59"/>
      <c r="H23" s="59"/>
      <c r="I23" s="59"/>
      <c r="J23" s="59"/>
      <c r="K23" s="59"/>
    </row>
    <row r="24" spans="1:11">
      <c r="A24" t="str">
        <f>LEFT(Table_4e!$A$1,8)</f>
        <v>Table 4e</v>
      </c>
      <c r="B24" t="str">
        <f>Table_4e!A5</f>
        <v>April 2015 to March 2016</v>
      </c>
      <c r="C24" t="str">
        <f t="shared" si="0"/>
        <v>2015-16</v>
      </c>
      <c r="D24" t="s">
        <v>198</v>
      </c>
      <c r="E24" s="62">
        <f>VLOOKUP($B24,Table_4e[#All],COLUMN(E$1)-3,FALSE)</f>
        <v>406523</v>
      </c>
      <c r="F24" s="59"/>
      <c r="G24" s="59"/>
      <c r="H24" s="59"/>
      <c r="I24" s="59"/>
      <c r="J24" s="59"/>
      <c r="K24" s="59"/>
    </row>
    <row r="25" spans="1:11">
      <c r="A25" t="str">
        <f>LEFT(Table_4e!$A$1,8)</f>
        <v>Table 4e</v>
      </c>
      <c r="B25" t="str">
        <f>Table_4e!A6</f>
        <v>April 2016 to March 2017</v>
      </c>
      <c r="C25" t="str">
        <f t="shared" si="0"/>
        <v>2016-17</v>
      </c>
      <c r="D25" t="s">
        <v>198</v>
      </c>
      <c r="E25" s="62">
        <f>VLOOKUP($B25,Table_4e[#All],COLUMN(E$1)-3,FALSE)</f>
        <v>326535</v>
      </c>
      <c r="F25" s="59"/>
      <c r="G25" s="59"/>
      <c r="H25" s="59"/>
      <c r="I25" s="59"/>
      <c r="J25" s="59"/>
      <c r="K25" s="59"/>
    </row>
    <row r="26" spans="1:11">
      <c r="A26" t="str">
        <f>LEFT(Table_4e!$A$1,8)</f>
        <v>Table 4e</v>
      </c>
      <c r="B26" t="str">
        <f>Table_4e!A7</f>
        <v>April 2017 to March 2018</v>
      </c>
      <c r="C26" t="str">
        <f t="shared" si="0"/>
        <v>2017-18</v>
      </c>
      <c r="D26" t="s">
        <v>198</v>
      </c>
      <c r="E26" s="62">
        <f>VLOOKUP($B26,Table_4e[#All],COLUMN(E$1)-3,FALSE)</f>
        <v>255000</v>
      </c>
      <c r="F26" s="59"/>
      <c r="G26" s="59"/>
      <c r="H26" s="59"/>
      <c r="I26" s="59"/>
      <c r="J26" s="59"/>
      <c r="K26" s="59"/>
    </row>
    <row r="27" spans="1:11">
      <c r="A27" t="str">
        <f>LEFT(Table_4e!$A$1,8)</f>
        <v>Table 4e</v>
      </c>
      <c r="B27" t="str">
        <f>Table_4e!A8</f>
        <v>April 2018 to March 2019</v>
      </c>
      <c r="C27" t="str">
        <f t="shared" si="0"/>
        <v>2018-19</v>
      </c>
      <c r="D27" t="s">
        <v>198</v>
      </c>
      <c r="E27" s="62">
        <f>VLOOKUP($B27,Table_4e[#All],COLUMN(E$1)-3,FALSE)</f>
        <v>293684</v>
      </c>
      <c r="F27" s="59"/>
      <c r="G27" s="59"/>
      <c r="H27" s="59"/>
      <c r="I27" s="59"/>
      <c r="J27" s="59"/>
      <c r="K27" s="59"/>
    </row>
    <row r="28" spans="1:11">
      <c r="A28" t="str">
        <f>LEFT(Table_4e!$A$1,8)</f>
        <v>Table 4e</v>
      </c>
      <c r="B28" t="str">
        <f>Table_4e!A9</f>
        <v>April 2019 to March 2020</v>
      </c>
      <c r="C28" t="str">
        <f t="shared" si="0"/>
        <v>2019-20</v>
      </c>
      <c r="D28" t="s">
        <v>198</v>
      </c>
      <c r="E28" s="62">
        <f>VLOOKUP($B28,Table_4e[#All],COLUMN(E$1)-3,FALSE)</f>
        <v>563847</v>
      </c>
      <c r="F28" s="59"/>
      <c r="G28" s="59"/>
      <c r="H28" s="59"/>
      <c r="I28" s="59"/>
      <c r="J28" s="59"/>
      <c r="K28" s="59"/>
    </row>
    <row r="29" spans="1:11">
      <c r="A29" t="str">
        <f>LEFT(Table_4e!$A$1,8)</f>
        <v>Table 4e</v>
      </c>
      <c r="B29" t="str">
        <f>Table_4e!A10</f>
        <v xml:space="preserve">April 2020 to March 2021 </v>
      </c>
      <c r="C29" t="str">
        <f t="shared" si="0"/>
        <v>2020-21</v>
      </c>
      <c r="D29" t="s">
        <v>198</v>
      </c>
      <c r="E29" s="62">
        <f>VLOOKUP($B29,Table_4e[#All],COLUMN(E$1)-3,FALSE)</f>
        <v>365353</v>
      </c>
      <c r="F29" s="59"/>
      <c r="G29" s="59"/>
      <c r="H29" s="59"/>
      <c r="I29" s="59"/>
      <c r="J29" s="59"/>
      <c r="K29" s="59"/>
    </row>
    <row r="30" spans="1:11">
      <c r="A30" t="str">
        <f>LEFT(Table_4e!$A$1,8)</f>
        <v>Table 4e</v>
      </c>
      <c r="B30" t="str">
        <f>Table_4e!A11</f>
        <v>March 2021 to April 2022</v>
      </c>
      <c r="C30" t="str">
        <f t="shared" si="0"/>
        <v>2021-22</v>
      </c>
      <c r="D30" t="s">
        <v>198</v>
      </c>
      <c r="E30" s="62">
        <f>VLOOKUP($B30,Table_4e[#All],COLUMN(E$1)-3,FALSE)</f>
        <v>286238</v>
      </c>
      <c r="F30" s="62">
        <v>56873</v>
      </c>
      <c r="G30" s="62">
        <v>32402</v>
      </c>
      <c r="H30" s="62">
        <v>47102</v>
      </c>
      <c r="I30" s="62">
        <v>34714</v>
      </c>
      <c r="J30" s="62">
        <v>99538</v>
      </c>
      <c r="K30" s="62">
        <v>15609</v>
      </c>
    </row>
    <row r="31" spans="1:11">
      <c r="A31" t="str">
        <f>LEFT(Table_4e!$A$1,8)</f>
        <v>Table 4e</v>
      </c>
      <c r="B31" t="str">
        <f>Table_4e!A12</f>
        <v>April 2022 to March 2023</v>
      </c>
      <c r="C31" t="str">
        <f>IF(ISNUMBER(SEARCH("2015",B31)),"2015-16",IF(ISNUMBER(SEARCH("2016",B31)),"2016-17",IF(ISNUMBER(SEARCH("2017",B31)),"2017-18",IF(ISNUMBER(SEARCH("2018",B31)),"2018-19",IF(ISNUMBER(SEARCH("2019",B31)),"2019-20",IF(ISNUMBER(SEARCH("2020",B31)),"2020-21",IF(ISNUMBER(SEARCH("2021",B31)),"2021-22",IF(ISNUMBER(SEARCH("2022",B31)),"2022-23",IF(ISNUMBER(SEARCH("2023",B31)),"2023-24",IF(ISNUMBER(SEARCH("2024",B31)),"2024-25",IF(ISNUMBER(SEARCH("2025",B31)),"2025-26","")))))))))))</f>
        <v>2022-23</v>
      </c>
      <c r="D31" t="s">
        <v>198</v>
      </c>
      <c r="E31" s="62">
        <v>346910</v>
      </c>
      <c r="F31" s="62">
        <v>93692</v>
      </c>
      <c r="G31" s="62">
        <v>68143</v>
      </c>
      <c r="H31" s="62">
        <v>45759</v>
      </c>
      <c r="I31" s="62">
        <v>17137</v>
      </c>
      <c r="J31" s="62">
        <v>82609</v>
      </c>
      <c r="K31" s="62">
        <v>39569</v>
      </c>
    </row>
    <row r="32" spans="1:11">
      <c r="B32" t="str">
        <f>Table_4e!A13</f>
        <v>April 2023 to March 2024</v>
      </c>
      <c r="C32" t="str">
        <f>IF(ISNUMBER(SEARCH("2015",B32)),"2015-16",IF(ISNUMBER(SEARCH("2016",B32)),"2016-17",IF(ISNUMBER(SEARCH("2017",B32)),"2017-18",IF(ISNUMBER(SEARCH("2018",B32)),"2018-19",IF(ISNUMBER(SEARCH("2019",B32)),"2019-20",IF(ISNUMBER(SEARCH("2020",B32)),"2020-21",IF(ISNUMBER(SEARCH("2021",B32)),"2021-22",IF(ISNUMBER(SEARCH("2022",B32)),"2022-23",IF(ISNUMBER(SEARCH("2023",B32)),"2023-24",IF(ISNUMBER(SEARCH("2024",B32)),"2024-25",IF(ISNUMBER(SEARCH("2025",B32)),"2025-26","")))))))))))</f>
        <v>2023-24</v>
      </c>
      <c r="D32" t="s">
        <v>198</v>
      </c>
      <c r="E32" s="62">
        <v>410562</v>
      </c>
      <c r="F32" s="62"/>
      <c r="G32" s="62"/>
      <c r="H32" s="62"/>
      <c r="I32" s="62"/>
      <c r="J32" s="62"/>
      <c r="K32" s="62"/>
    </row>
    <row r="33" spans="1:11">
      <c r="A33" t="str">
        <f>LEFT(Table_4f!$A$1,8)</f>
        <v>Table 4f</v>
      </c>
      <c r="B33" t="str">
        <f>Table_4f!A4</f>
        <v xml:space="preserve">April 2020 to March 2021 </v>
      </c>
      <c r="C33" t="str">
        <f t="shared" si="0"/>
        <v>2020-21</v>
      </c>
      <c r="D33" t="s">
        <v>199</v>
      </c>
      <c r="E33" s="62">
        <f>VLOOKUP($B33,Table_4f[#All],COLUMN(E$1)-3,FALSE)</f>
        <v>51580</v>
      </c>
      <c r="F33" s="59"/>
      <c r="G33" s="59"/>
      <c r="H33" s="59"/>
      <c r="I33" s="59"/>
      <c r="J33" s="59"/>
      <c r="K33" s="59"/>
    </row>
    <row r="34" spans="1:11">
      <c r="A34" t="str">
        <f>LEFT(Table_4f!$A$1,8)</f>
        <v>Table 4f</v>
      </c>
      <c r="B34" t="str">
        <f>Table_4f!A5</f>
        <v>April 2021 to March 2022</v>
      </c>
      <c r="C34" t="str">
        <f t="shared" si="0"/>
        <v>2021-22</v>
      </c>
      <c r="D34" t="s">
        <v>199</v>
      </c>
      <c r="E34" s="62">
        <f>VLOOKUP($B34,Table_4f[#All],COLUMN(E$1)-3,FALSE)</f>
        <v>51592</v>
      </c>
      <c r="F34" s="59"/>
      <c r="G34" s="59"/>
      <c r="H34" s="59"/>
      <c r="I34" s="59"/>
      <c r="J34" s="59"/>
      <c r="K34" s="59"/>
    </row>
    <row r="35" spans="1:11">
      <c r="A35" t="str">
        <f>LEFT(Table_4f!$A$1,8)</f>
        <v>Table 4f</v>
      </c>
      <c r="B35" t="str">
        <f>Table_4f!A6</f>
        <v>April 2022 to March 2023</v>
      </c>
      <c r="C35" t="str">
        <f t="shared" si="0"/>
        <v>2022-23</v>
      </c>
      <c r="D35" t="s">
        <v>199</v>
      </c>
      <c r="E35" s="62">
        <f>VLOOKUP($B35,Table_4f[#All],COLUMN(E$1)-3,FALSE)</f>
        <v>51626</v>
      </c>
      <c r="F35" s="59"/>
      <c r="G35" s="59"/>
      <c r="H35" s="59"/>
      <c r="I35" s="59"/>
      <c r="J35" s="59"/>
      <c r="K35" s="59"/>
    </row>
    <row r="36" spans="1:11">
      <c r="B36" t="str">
        <f>Table_4f!A7</f>
        <v>April 2023 to March 2024</v>
      </c>
      <c r="C36" t="str">
        <f>IF(ISNUMBER(SEARCH("2015",B36)),"2015-16",IF(ISNUMBER(SEARCH("2016",B36)),"2016-17",IF(ISNUMBER(SEARCH("2017",B36)),"2017-18",IF(ISNUMBER(SEARCH("2018",B36)),"2018-19",IF(ISNUMBER(SEARCH("2019",B36)),"2019-20",IF(ISNUMBER(SEARCH("2020",B36)),"2020-21",IF(ISNUMBER(SEARCH("2021",B36)),"2021-22",IF(ISNUMBER(SEARCH("2022",B36)),"2022-23",IF(ISNUMBER(SEARCH("2023",B36)),"2023-24",IF(ISNUMBER(SEARCH("2024",B36)),"2024-25",IF(ISNUMBER(SEARCH("2025",B36)),"2025-26","")))))))))))</f>
        <v>2023-24</v>
      </c>
      <c r="D36" t="s">
        <v>199</v>
      </c>
      <c r="E36" s="62">
        <v>51626</v>
      </c>
      <c r="F36" s="59"/>
      <c r="G36" s="59"/>
      <c r="H36" s="59"/>
      <c r="I36" s="59"/>
      <c r="J36" s="59"/>
      <c r="K36" s="59"/>
    </row>
    <row r="37" spans="1:11">
      <c r="A37" t="str">
        <f>LEFT(Table_4g!$A$1,8)</f>
        <v>Table 4g</v>
      </c>
      <c r="B37" t="str">
        <f>Table_4g!A4</f>
        <v xml:space="preserve">April 2020 to March 2021 </v>
      </c>
      <c r="C37" t="str">
        <f t="shared" si="0"/>
        <v>2020-21</v>
      </c>
      <c r="D37" t="s">
        <v>200</v>
      </c>
      <c r="E37" s="62">
        <f>VLOOKUP($B37,Table_4g[#All],COLUMN(E$1)-3,FALSE)</f>
        <v>17</v>
      </c>
      <c r="F37" s="62">
        <v>2.2000000000000002</v>
      </c>
      <c r="G37" s="62">
        <v>1</v>
      </c>
      <c r="H37" s="62">
        <v>1</v>
      </c>
      <c r="I37" s="62">
        <v>12.6</v>
      </c>
      <c r="J37" s="62">
        <v>0</v>
      </c>
      <c r="K37" s="62">
        <v>0</v>
      </c>
    </row>
    <row r="38" spans="1:11">
      <c r="A38" t="str">
        <f>LEFT(Table_4g!$A$1,8)</f>
        <v>Table 4g</v>
      </c>
      <c r="B38" t="str">
        <f>Table_4g!A5</f>
        <v>April 2021 to March 2022</v>
      </c>
      <c r="C38" t="str">
        <f t="shared" si="0"/>
        <v>2021-22</v>
      </c>
      <c r="D38" t="s">
        <v>200</v>
      </c>
      <c r="E38" s="62">
        <f>VLOOKUP($B38,Table_4g[#All],COLUMN(E$1)-3,FALSE)</f>
        <v>15</v>
      </c>
      <c r="F38" s="62">
        <v>2</v>
      </c>
      <c r="G38" s="62">
        <v>2.2999999999999998</v>
      </c>
      <c r="H38" s="62">
        <v>0</v>
      </c>
      <c r="I38" s="62">
        <v>0</v>
      </c>
      <c r="J38" s="62">
        <v>0</v>
      </c>
      <c r="K38" s="62">
        <v>11</v>
      </c>
    </row>
    <row r="39" spans="1:11">
      <c r="A39" t="str">
        <f>LEFT(Table_4g!$A$1,8)</f>
        <v>Table 4g</v>
      </c>
      <c r="B39" t="str">
        <f>Table_4g!A6</f>
        <v>April 2022 to March 2023</v>
      </c>
      <c r="C39" t="str">
        <f t="shared" si="0"/>
        <v>2022-23</v>
      </c>
      <c r="D39" t="s">
        <v>200</v>
      </c>
      <c r="E39" s="62">
        <v>6.7</v>
      </c>
      <c r="F39" s="62">
        <v>2.5</v>
      </c>
      <c r="G39" s="62">
        <v>1.4</v>
      </c>
      <c r="H39" s="62">
        <v>0</v>
      </c>
      <c r="I39" s="62">
        <v>0</v>
      </c>
      <c r="J39" s="62">
        <v>1</v>
      </c>
      <c r="K39" s="62">
        <v>1.8</v>
      </c>
    </row>
    <row r="40" spans="1:11">
      <c r="B40" t="str">
        <f>Table_4g!A7</f>
        <v>April 2023 to March 2024</v>
      </c>
      <c r="C40" t="str">
        <f>IF(ISNUMBER(SEARCH("2015",B40)),"2015-16",IF(ISNUMBER(SEARCH("2016",B40)),"2016-17",IF(ISNUMBER(SEARCH("2017",B40)),"2017-18",IF(ISNUMBER(SEARCH("2018",B40)),"2018-19",IF(ISNUMBER(SEARCH("2019",B40)),"2019-20",IF(ISNUMBER(SEARCH("2020",B40)),"2020-21",IF(ISNUMBER(SEARCH("2021",B40)),"2021-22",IF(ISNUMBER(SEARCH("2022",B40)),"2022-23",IF(ISNUMBER(SEARCH("2023",B40)),"2023-24",IF(ISNUMBER(SEARCH("2024",B40)),"2024-25",IF(ISNUMBER(SEARCH("2025",B40)),"2025-26","")))))))))))</f>
        <v>2023-24</v>
      </c>
      <c r="D40" t="s">
        <v>200</v>
      </c>
      <c r="E40" s="62">
        <v>3.004</v>
      </c>
      <c r="F40" s="62"/>
      <c r="G40" s="62"/>
      <c r="H40" s="62"/>
      <c r="I40" s="62"/>
      <c r="J40" s="62"/>
      <c r="K40" s="62"/>
    </row>
    <row r="41" spans="1:11">
      <c r="A41" t="str">
        <f>LEFT(Table_4h!$A$1,8)</f>
        <v>Table 4h</v>
      </c>
      <c r="B41" t="str">
        <f>Table_4h!A4</f>
        <v xml:space="preserve">April 2020 to March 2021 </v>
      </c>
      <c r="C41" t="str">
        <f t="shared" si="0"/>
        <v>2020-21</v>
      </c>
      <c r="D41" t="s">
        <v>201</v>
      </c>
      <c r="E41" s="62">
        <f>VLOOKUP($B41,Table_4h[#All],COLUMN(E$1)-3,FALSE)</f>
        <v>49.2</v>
      </c>
    </row>
    <row r="42" spans="1:11">
      <c r="A42" t="str">
        <f>LEFT(Table_4h!$A$1,8)</f>
        <v>Table 4h</v>
      </c>
      <c r="B42" t="str">
        <f>Table_4h!A5</f>
        <v>April 2021 to March 2022</v>
      </c>
      <c r="C42" t="str">
        <f t="shared" si="0"/>
        <v>2021-22</v>
      </c>
      <c r="D42" t="s">
        <v>201</v>
      </c>
      <c r="E42" s="62">
        <f>VLOOKUP($B42,Table_4h[#All],COLUMN(E$1)-3,FALSE)</f>
        <v>60.8</v>
      </c>
    </row>
    <row r="43" spans="1:11">
      <c r="B43" t="str">
        <f>Table_4h!A6</f>
        <v>April 2022 to March 2023</v>
      </c>
      <c r="C43" t="str">
        <f>IF(ISNUMBER(SEARCH("2015",B43)),"2015-16",IF(ISNUMBER(SEARCH("2016",B43)),"2016-17",IF(ISNUMBER(SEARCH("2017",B43)),"2017-18",IF(ISNUMBER(SEARCH("2018",B43)),"2018-19",IF(ISNUMBER(SEARCH("2019",B43)),"2019-20",IF(ISNUMBER(SEARCH("2020",B43)),"2020-21",IF(ISNUMBER(SEARCH("2021",B43)),"2021-22",IF(ISNUMBER(SEARCH("2022",B43)),"2022-23",IF(ISNUMBER(SEARCH("2023",B43)),"2023-24",IF(ISNUMBER(SEARCH("2024",B43)),"2024-25",IF(ISNUMBER(SEARCH("2025",B43)),"2025-26","")))))))))))</f>
        <v>2022-23</v>
      </c>
      <c r="D43" t="s">
        <v>201</v>
      </c>
      <c r="E43" s="62">
        <f>VLOOKUP($B43,Table_4h[#All],COLUMN(E$1)-3,FALSE)</f>
        <v>53.6</v>
      </c>
    </row>
    <row r="44" spans="1:11">
      <c r="A44" t="str">
        <f>LEFT(Table_4h!$A$1,8)</f>
        <v>Table 4h</v>
      </c>
      <c r="B44" t="str">
        <f>Table_4h!A7</f>
        <v>April 2023 to March 2024</v>
      </c>
      <c r="C44" t="str">
        <f t="shared" si="0"/>
        <v>2023-24</v>
      </c>
      <c r="D44" t="s">
        <v>201</v>
      </c>
      <c r="E44" s="62">
        <f>VLOOKUP($B44,Table_4h[#All],COLUMN(E$1)-3,FALSE)</f>
        <v>59.2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12"/>
  <sheetViews>
    <sheetView zoomScaleNormal="100" workbookViewId="0"/>
  </sheetViews>
  <sheetFormatPr defaultRowHeight="14.5"/>
  <cols>
    <col min="1" max="1" width="16.1796875" customWidth="1"/>
    <col min="2" max="2" width="100.81640625" customWidth="1"/>
    <col min="3" max="3" width="9" customWidth="1"/>
  </cols>
  <sheetData>
    <row r="1" spans="1:2" ht="30" customHeight="1">
      <c r="A1" s="4" t="s">
        <v>32</v>
      </c>
      <c r="B1" s="13"/>
    </row>
    <row r="2" spans="1:2" ht="15.5">
      <c r="A2" s="3" t="s">
        <v>33</v>
      </c>
      <c r="B2" s="5"/>
    </row>
    <row r="3" spans="1:2" ht="15.5">
      <c r="A3" s="6" t="s">
        <v>34</v>
      </c>
      <c r="B3" s="7" t="s">
        <v>35</v>
      </c>
    </row>
    <row r="4" spans="1:2" ht="15.5">
      <c r="A4" s="9" t="s">
        <v>36</v>
      </c>
      <c r="B4" s="37" t="s">
        <v>37</v>
      </c>
    </row>
    <row r="5" spans="1:2" ht="31">
      <c r="A5" s="19" t="s">
        <v>38</v>
      </c>
      <c r="B5" s="37" t="s">
        <v>39</v>
      </c>
    </row>
    <row r="6" spans="1:2" ht="15.5">
      <c r="A6" s="19" t="s">
        <v>40</v>
      </c>
      <c r="B6" s="37" t="s">
        <v>41</v>
      </c>
    </row>
    <row r="7" spans="1:2" ht="31">
      <c r="A7" s="19" t="s">
        <v>42</v>
      </c>
      <c r="B7" s="37" t="s">
        <v>43</v>
      </c>
    </row>
    <row r="8" spans="1:2" ht="31">
      <c r="A8" s="19" t="s">
        <v>44</v>
      </c>
      <c r="B8" s="37" t="s">
        <v>45</v>
      </c>
    </row>
    <row r="9" spans="1:2" ht="62">
      <c r="A9" s="19" t="s">
        <v>46</v>
      </c>
      <c r="B9" s="37" t="s">
        <v>47</v>
      </c>
    </row>
    <row r="10" spans="1:2" ht="94.5" customHeight="1">
      <c r="A10" s="19" t="s">
        <v>48</v>
      </c>
      <c r="B10" s="37" t="s">
        <v>49</v>
      </c>
    </row>
    <row r="11" spans="1:2" ht="18.75" customHeight="1">
      <c r="A11" s="19"/>
      <c r="B11" s="37"/>
    </row>
    <row r="12" spans="1:2" ht="15.5">
      <c r="A12" s="19"/>
      <c r="B12" s="81"/>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11"/>
  <sheetViews>
    <sheetView zoomScaleNormal="100" workbookViewId="0"/>
  </sheetViews>
  <sheetFormatPr defaultRowHeight="14.5"/>
  <cols>
    <col min="1" max="1" width="34" bestFit="1" customWidth="1"/>
    <col min="2" max="2" width="87.54296875" customWidth="1"/>
  </cols>
  <sheetData>
    <row r="1" spans="1:2" ht="30" customHeight="1">
      <c r="A1" s="72" t="s">
        <v>50</v>
      </c>
      <c r="B1" s="2"/>
    </row>
    <row r="2" spans="1:2" ht="15.5">
      <c r="A2" s="21" t="s">
        <v>51</v>
      </c>
      <c r="B2" s="2"/>
    </row>
    <row r="3" spans="1:2" ht="15.5">
      <c r="A3" s="14" t="s">
        <v>52</v>
      </c>
      <c r="B3" s="15" t="s">
        <v>53</v>
      </c>
    </row>
    <row r="4" spans="1:2" ht="31">
      <c r="A4" s="17" t="s">
        <v>54</v>
      </c>
      <c r="B4" s="23" t="s">
        <v>55</v>
      </c>
    </row>
    <row r="5" spans="1:2" ht="31">
      <c r="A5" s="17" t="s">
        <v>56</v>
      </c>
      <c r="B5" s="23" t="s">
        <v>57</v>
      </c>
    </row>
    <row r="6" spans="1:2" ht="31">
      <c r="A6" s="17" t="s">
        <v>58</v>
      </c>
      <c r="B6" s="23" t="s">
        <v>59</v>
      </c>
    </row>
    <row r="7" spans="1:2" ht="31">
      <c r="A7" s="17" t="s">
        <v>60</v>
      </c>
      <c r="B7" s="24" t="s">
        <v>61</v>
      </c>
    </row>
    <row r="8" spans="1:2" ht="31">
      <c r="A8" s="17" t="s">
        <v>62</v>
      </c>
      <c r="B8" s="15" t="s">
        <v>63</v>
      </c>
    </row>
    <row r="9" spans="1:2" ht="46.5">
      <c r="A9" s="17" t="s">
        <v>64</v>
      </c>
      <c r="B9" s="24" t="s">
        <v>65</v>
      </c>
    </row>
    <row r="10" spans="1:2" ht="46.5">
      <c r="A10" s="17" t="s">
        <v>66</v>
      </c>
      <c r="B10" s="24" t="s">
        <v>67</v>
      </c>
    </row>
    <row r="11" spans="1:2" ht="31">
      <c r="A11" s="17" t="s">
        <v>68</v>
      </c>
      <c r="B11" s="24" t="s">
        <v>69</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002060"/>
  </sheetPr>
  <dimension ref="A1:H16"/>
  <sheetViews>
    <sheetView zoomScaleNormal="100" workbookViewId="0"/>
  </sheetViews>
  <sheetFormatPr defaultColWidth="9" defaultRowHeight="14.5"/>
  <cols>
    <col min="1" max="1" width="50.54296875" customWidth="1"/>
    <col min="2" max="8" width="20.54296875" style="12" customWidth="1"/>
  </cols>
  <sheetData>
    <row r="1" spans="1:8" ht="30" customHeight="1">
      <c r="A1" s="8" t="s">
        <v>70</v>
      </c>
    </row>
    <row r="2" spans="1:8" s="44" customFormat="1" ht="20.149999999999999" customHeight="1">
      <c r="A2" s="19" t="s">
        <v>51</v>
      </c>
    </row>
    <row r="3" spans="1:8" s="44" customFormat="1" ht="20.149999999999999" customHeight="1">
      <c r="A3" s="20" t="s">
        <v>71</v>
      </c>
      <c r="B3" s="20"/>
      <c r="C3" s="20"/>
      <c r="D3" s="20"/>
    </row>
    <row r="4" spans="1:8" s="78" customFormat="1" ht="20.149999999999999" customHeight="1">
      <c r="A4" s="79" t="s">
        <v>72</v>
      </c>
    </row>
    <row r="5" spans="1:8" s="44" customFormat="1" ht="20.149999999999999" customHeight="1">
      <c r="A5" s="68" t="s">
        <v>73</v>
      </c>
    </row>
    <row r="6" spans="1:8" s="16" customFormat="1" ht="108.5">
      <c r="A6" s="10" t="s">
        <v>74</v>
      </c>
      <c r="B6" s="34" t="s">
        <v>75</v>
      </c>
      <c r="C6" s="22" t="s">
        <v>76</v>
      </c>
      <c r="D6" s="22" t="s">
        <v>77</v>
      </c>
      <c r="E6" s="22" t="s">
        <v>78</v>
      </c>
      <c r="F6" s="22" t="s">
        <v>79</v>
      </c>
      <c r="G6" s="22" t="s">
        <v>80</v>
      </c>
      <c r="H6" s="22" t="s">
        <v>81</v>
      </c>
    </row>
    <row r="7" spans="1:8" s="16" customFormat="1" ht="20.5" customHeight="1">
      <c r="A7" s="10" t="s">
        <v>82</v>
      </c>
      <c r="B7" s="74">
        <v>62</v>
      </c>
      <c r="C7" s="35" t="s">
        <v>83</v>
      </c>
      <c r="D7" s="35" t="s">
        <v>83</v>
      </c>
      <c r="E7" s="35" t="s">
        <v>83</v>
      </c>
      <c r="F7" s="35" t="s">
        <v>83</v>
      </c>
      <c r="G7" s="35" t="s">
        <v>83</v>
      </c>
      <c r="H7" s="35" t="s">
        <v>83</v>
      </c>
    </row>
    <row r="8" spans="1:8" s="16" customFormat="1" ht="20.5" customHeight="1">
      <c r="A8" s="10" t="s">
        <v>84</v>
      </c>
      <c r="B8" s="74">
        <v>141</v>
      </c>
      <c r="C8" s="35" t="s">
        <v>83</v>
      </c>
      <c r="D8" s="35" t="s">
        <v>83</v>
      </c>
      <c r="E8" s="35" t="s">
        <v>83</v>
      </c>
      <c r="F8" s="35" t="s">
        <v>83</v>
      </c>
      <c r="G8" s="35" t="s">
        <v>83</v>
      </c>
      <c r="H8" s="35" t="s">
        <v>83</v>
      </c>
    </row>
    <row r="9" spans="1:8" s="16" customFormat="1" ht="20.5" customHeight="1">
      <c r="A9" s="10" t="s">
        <v>85</v>
      </c>
      <c r="B9" s="74">
        <v>448</v>
      </c>
      <c r="C9" s="35" t="s">
        <v>83</v>
      </c>
      <c r="D9" s="35" t="s">
        <v>83</v>
      </c>
      <c r="E9" s="35" t="s">
        <v>83</v>
      </c>
      <c r="F9" s="35" t="s">
        <v>83</v>
      </c>
      <c r="G9" s="35" t="s">
        <v>83</v>
      </c>
      <c r="H9" s="35" t="s">
        <v>83</v>
      </c>
    </row>
    <row r="10" spans="1:8" s="16" customFormat="1" ht="20.5" customHeight="1">
      <c r="A10" s="39" t="s">
        <v>86</v>
      </c>
      <c r="B10" s="74">
        <v>300</v>
      </c>
      <c r="C10" s="35" t="s">
        <v>83</v>
      </c>
      <c r="D10" s="35" t="s">
        <v>83</v>
      </c>
      <c r="E10" s="35" t="s">
        <v>83</v>
      </c>
      <c r="F10" s="35" t="s">
        <v>83</v>
      </c>
      <c r="G10" s="35" t="s">
        <v>83</v>
      </c>
      <c r="H10" s="35" t="s">
        <v>83</v>
      </c>
    </row>
    <row r="11" spans="1:8" s="16" customFormat="1" ht="20.5" customHeight="1" thickBot="1">
      <c r="A11" s="40" t="s">
        <v>87</v>
      </c>
      <c r="B11" s="75">
        <v>223</v>
      </c>
      <c r="C11" s="41" t="s">
        <v>83</v>
      </c>
      <c r="D11" s="42" t="s">
        <v>83</v>
      </c>
      <c r="E11" s="42" t="s">
        <v>83</v>
      </c>
      <c r="F11" s="42" t="s">
        <v>83</v>
      </c>
      <c r="G11" s="42" t="s">
        <v>83</v>
      </c>
      <c r="H11" s="42" t="s">
        <v>83</v>
      </c>
    </row>
    <row r="12" spans="1:8" s="16" customFormat="1" ht="20.25" customHeight="1" thickTop="1">
      <c r="A12" s="10" t="s">
        <v>88</v>
      </c>
      <c r="B12" s="74">
        <v>2111</v>
      </c>
      <c r="C12" s="35">
        <v>0</v>
      </c>
      <c r="D12" s="35">
        <v>1528</v>
      </c>
      <c r="E12" s="35">
        <v>25</v>
      </c>
      <c r="F12" s="35">
        <v>2</v>
      </c>
      <c r="G12" s="35">
        <v>224</v>
      </c>
      <c r="H12" s="35">
        <v>332</v>
      </c>
    </row>
    <row r="13" spans="1:8" s="16" customFormat="1" ht="20.25" customHeight="1">
      <c r="A13" s="10" t="s">
        <v>89</v>
      </c>
      <c r="B13" s="74">
        <v>1067</v>
      </c>
      <c r="C13" s="35">
        <v>311</v>
      </c>
      <c r="D13" s="35">
        <v>1</v>
      </c>
      <c r="E13" s="35">
        <v>0</v>
      </c>
      <c r="F13" s="35">
        <v>0</v>
      </c>
      <c r="G13" s="35">
        <v>755</v>
      </c>
      <c r="H13" s="35">
        <v>0</v>
      </c>
    </row>
    <row r="14" spans="1:8" s="16" customFormat="1" ht="20.25" customHeight="1">
      <c r="A14" s="10" t="s">
        <v>90</v>
      </c>
      <c r="B14" s="74">
        <v>1029</v>
      </c>
      <c r="C14" s="35">
        <v>126</v>
      </c>
      <c r="D14" s="35">
        <v>442</v>
      </c>
      <c r="E14" s="35">
        <v>46</v>
      </c>
      <c r="F14" s="35">
        <v>0</v>
      </c>
      <c r="G14" s="35">
        <v>363</v>
      </c>
      <c r="H14" s="35">
        <v>8</v>
      </c>
    </row>
    <row r="15" spans="1:8" s="16" customFormat="1" ht="20.25" customHeight="1">
      <c r="A15" s="10" t="s">
        <v>91</v>
      </c>
      <c r="B15" s="74">
        <v>990</v>
      </c>
      <c r="C15" s="35">
        <v>228</v>
      </c>
      <c r="D15" s="35">
        <v>509</v>
      </c>
      <c r="E15" s="35">
        <v>39</v>
      </c>
      <c r="F15" s="35">
        <v>0</v>
      </c>
      <c r="G15" s="35">
        <v>213</v>
      </c>
      <c r="H15" s="35">
        <v>1</v>
      </c>
    </row>
    <row r="16" spans="1:8" ht="20.25" customHeight="1">
      <c r="A16" s="10" t="s">
        <v>92</v>
      </c>
      <c r="B16" s="74">
        <v>2579</v>
      </c>
      <c r="C16" s="35" t="s">
        <v>83</v>
      </c>
      <c r="D16" s="35" t="s">
        <v>83</v>
      </c>
      <c r="E16" s="35" t="s">
        <v>83</v>
      </c>
      <c r="F16" s="35" t="s">
        <v>83</v>
      </c>
      <c r="G16" s="35" t="s">
        <v>83</v>
      </c>
      <c r="H16" s="35" t="s">
        <v>83</v>
      </c>
    </row>
  </sheetData>
  <phoneticPr fontId="171"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105F-99AD-43C0-BA08-B7368397BA95}">
  <sheetPr codeName="Sheet5">
    <tabColor rgb="FF002060"/>
  </sheetPr>
  <dimension ref="A1:H9"/>
  <sheetViews>
    <sheetView zoomScaleNormal="100" workbookViewId="0"/>
  </sheetViews>
  <sheetFormatPr defaultRowHeight="14.5"/>
  <cols>
    <col min="1" max="1" width="50.54296875" customWidth="1"/>
    <col min="2" max="8" width="20.54296875" customWidth="1"/>
  </cols>
  <sheetData>
    <row r="1" spans="1:8" ht="30" customHeight="1">
      <c r="A1" s="8" t="s">
        <v>93</v>
      </c>
      <c r="B1" s="12"/>
    </row>
    <row r="2" spans="1:8" s="44" customFormat="1" ht="20.149999999999999" customHeight="1">
      <c r="A2" s="19" t="s">
        <v>51</v>
      </c>
    </row>
    <row r="3" spans="1:8" s="44" customFormat="1" ht="20.149999999999999" customHeight="1">
      <c r="A3" s="69" t="s">
        <v>94</v>
      </c>
    </row>
    <row r="4" spans="1:8" ht="64.5" customHeight="1">
      <c r="A4" s="10" t="s">
        <v>74</v>
      </c>
      <c r="B4" s="34" t="s">
        <v>95</v>
      </c>
      <c r="C4" s="83" t="s">
        <v>96</v>
      </c>
      <c r="D4" s="83" t="s">
        <v>97</v>
      </c>
      <c r="E4" s="83" t="s">
        <v>98</v>
      </c>
      <c r="F4" s="83" t="s">
        <v>99</v>
      </c>
      <c r="G4" s="83" t="s">
        <v>100</v>
      </c>
      <c r="H4" s="83" t="s">
        <v>101</v>
      </c>
    </row>
    <row r="5" spans="1:8" ht="20.149999999999999" customHeight="1">
      <c r="A5" s="10" t="s">
        <v>102</v>
      </c>
      <c r="B5" s="74">
        <v>147</v>
      </c>
      <c r="C5" s="84">
        <v>17</v>
      </c>
      <c r="D5" s="84">
        <v>143</v>
      </c>
      <c r="E5" s="84">
        <v>0</v>
      </c>
      <c r="F5" s="84">
        <v>3</v>
      </c>
      <c r="G5" s="84">
        <v>-16</v>
      </c>
      <c r="H5" s="84">
        <v>0</v>
      </c>
    </row>
    <row r="6" spans="1:8" ht="20.149999999999999" customHeight="1">
      <c r="A6" s="10" t="s">
        <v>89</v>
      </c>
      <c r="B6" s="74">
        <v>364</v>
      </c>
      <c r="C6" s="84">
        <v>-60</v>
      </c>
      <c r="D6" s="84">
        <v>178</v>
      </c>
      <c r="E6" s="84">
        <v>16</v>
      </c>
      <c r="F6" s="84">
        <v>22</v>
      </c>
      <c r="G6" s="84">
        <v>87</v>
      </c>
      <c r="H6" s="84">
        <v>121</v>
      </c>
    </row>
    <row r="7" spans="1:8" ht="20.5" customHeight="1">
      <c r="A7" s="10" t="s">
        <v>90</v>
      </c>
      <c r="B7" s="74">
        <v>1622</v>
      </c>
      <c r="C7" s="84">
        <v>211</v>
      </c>
      <c r="D7" s="84">
        <v>436</v>
      </c>
      <c r="E7" s="84">
        <v>36</v>
      </c>
      <c r="F7" s="84">
        <v>338</v>
      </c>
      <c r="G7" s="84">
        <v>394</v>
      </c>
      <c r="H7" s="84">
        <v>207</v>
      </c>
    </row>
    <row r="8" spans="1:8" ht="20.5" customHeight="1">
      <c r="A8" s="10" t="s">
        <v>91</v>
      </c>
      <c r="B8" s="74">
        <v>2389</v>
      </c>
      <c r="C8" s="84">
        <v>444</v>
      </c>
      <c r="D8" s="84">
        <v>1121</v>
      </c>
      <c r="E8" s="84">
        <v>131</v>
      </c>
      <c r="F8" s="84">
        <v>213</v>
      </c>
      <c r="G8" s="84">
        <v>0</v>
      </c>
      <c r="H8" s="84">
        <v>479</v>
      </c>
    </row>
    <row r="9" spans="1:8" ht="20.25" customHeight="1">
      <c r="A9" s="10" t="s">
        <v>92</v>
      </c>
      <c r="B9" s="74">
        <v>2173.4</v>
      </c>
      <c r="C9" s="84" t="s">
        <v>83</v>
      </c>
      <c r="D9" s="84" t="s">
        <v>83</v>
      </c>
      <c r="E9" s="84" t="s">
        <v>83</v>
      </c>
      <c r="F9" s="84" t="s">
        <v>83</v>
      </c>
      <c r="G9" s="84" t="s">
        <v>83</v>
      </c>
      <c r="H9" s="84" t="s">
        <v>83</v>
      </c>
    </row>
  </sheetData>
  <phoneticPr fontId="171"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6">
    <tabColor rgb="FF002060"/>
  </sheetPr>
  <dimension ref="A1:H9"/>
  <sheetViews>
    <sheetView zoomScaleNormal="100" workbookViewId="0"/>
  </sheetViews>
  <sheetFormatPr defaultColWidth="9" defaultRowHeight="14.5"/>
  <cols>
    <col min="1" max="1" width="50.54296875" customWidth="1"/>
    <col min="2" max="8" width="20.54296875" style="12" customWidth="1"/>
  </cols>
  <sheetData>
    <row r="1" spans="1:8" ht="30" customHeight="1">
      <c r="A1" s="8" t="s">
        <v>103</v>
      </c>
    </row>
    <row r="2" spans="1:8" s="44" customFormat="1" ht="20.149999999999999" customHeight="1">
      <c r="A2" s="19" t="s">
        <v>51</v>
      </c>
    </row>
    <row r="3" spans="1:8" s="44" customFormat="1" ht="20.149999999999999" customHeight="1">
      <c r="A3" s="68" t="s">
        <v>104</v>
      </c>
      <c r="B3" s="68"/>
      <c r="C3" s="68"/>
    </row>
    <row r="4" spans="1:8" s="11" customFormat="1" ht="93">
      <c r="A4" s="10" t="s">
        <v>74</v>
      </c>
      <c r="B4" s="34" t="s">
        <v>105</v>
      </c>
      <c r="C4" s="22" t="s">
        <v>106</v>
      </c>
      <c r="D4" s="22" t="s">
        <v>107</v>
      </c>
      <c r="E4" s="22" t="s">
        <v>108</v>
      </c>
      <c r="F4" s="22" t="s">
        <v>109</v>
      </c>
      <c r="G4" s="22" t="s">
        <v>110</v>
      </c>
      <c r="H4" s="22" t="s">
        <v>111</v>
      </c>
    </row>
    <row r="5" spans="1:8" ht="20.149999999999999" customHeight="1">
      <c r="A5" s="10" t="s">
        <v>102</v>
      </c>
      <c r="B5" s="73">
        <v>31</v>
      </c>
      <c r="C5" s="36">
        <v>7</v>
      </c>
      <c r="D5" s="36">
        <v>2</v>
      </c>
      <c r="E5" s="36">
        <v>11</v>
      </c>
      <c r="F5" s="36">
        <v>0</v>
      </c>
      <c r="G5" s="36">
        <v>8</v>
      </c>
      <c r="H5" s="36">
        <v>3</v>
      </c>
    </row>
    <row r="6" spans="1:8" ht="20.149999999999999" customHeight="1">
      <c r="A6" s="10" t="s">
        <v>89</v>
      </c>
      <c r="B6" s="73">
        <v>31</v>
      </c>
      <c r="C6" s="36">
        <v>7</v>
      </c>
      <c r="D6" s="36">
        <v>2</v>
      </c>
      <c r="E6" s="36">
        <v>11</v>
      </c>
      <c r="F6" s="36">
        <v>0</v>
      </c>
      <c r="G6" s="36">
        <v>8</v>
      </c>
      <c r="H6" s="36">
        <v>3</v>
      </c>
    </row>
    <row r="7" spans="1:8" ht="20.5" customHeight="1">
      <c r="A7" s="10" t="s">
        <v>90</v>
      </c>
      <c r="B7" s="73">
        <v>43</v>
      </c>
      <c r="C7" s="36">
        <v>10</v>
      </c>
      <c r="D7" s="36">
        <v>10</v>
      </c>
      <c r="E7" s="36">
        <v>11</v>
      </c>
      <c r="F7" s="36">
        <v>0</v>
      </c>
      <c r="G7" s="36">
        <v>9</v>
      </c>
      <c r="H7" s="36">
        <v>3</v>
      </c>
    </row>
    <row r="8" spans="1:8" ht="20.5" customHeight="1">
      <c r="A8" s="10" t="s">
        <v>91</v>
      </c>
      <c r="B8" s="73">
        <v>30</v>
      </c>
      <c r="C8" s="36">
        <v>3</v>
      </c>
      <c r="D8" s="36">
        <v>7</v>
      </c>
      <c r="E8" s="36">
        <v>6</v>
      </c>
      <c r="F8" s="36">
        <v>2</v>
      </c>
      <c r="G8" s="36">
        <v>8</v>
      </c>
      <c r="H8" s="36">
        <v>4</v>
      </c>
    </row>
    <row r="9" spans="1:8" ht="20.25" customHeight="1">
      <c r="A9" s="10" t="s">
        <v>92</v>
      </c>
      <c r="B9" s="73">
        <v>19</v>
      </c>
      <c r="C9" s="36" t="s">
        <v>83</v>
      </c>
      <c r="D9" s="36" t="s">
        <v>83</v>
      </c>
      <c r="E9" s="36" t="s">
        <v>83</v>
      </c>
      <c r="F9" s="36" t="s">
        <v>83</v>
      </c>
      <c r="G9" s="36" t="s">
        <v>83</v>
      </c>
      <c r="H9" s="36" t="s">
        <v>83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7">
    <tabColor rgb="FF002060"/>
  </sheetPr>
  <dimension ref="A1:B10"/>
  <sheetViews>
    <sheetView zoomScaleNormal="100" workbookViewId="0"/>
  </sheetViews>
  <sheetFormatPr defaultRowHeight="14.5"/>
  <cols>
    <col min="1" max="1" width="50.54296875" customWidth="1"/>
    <col min="2" max="8" width="20.54296875" customWidth="1"/>
  </cols>
  <sheetData>
    <row r="1" spans="1:2" ht="30" customHeight="1">
      <c r="A1" s="8" t="s">
        <v>112</v>
      </c>
      <c r="B1" s="8"/>
    </row>
    <row r="2" spans="1:2" ht="20.149999999999999" customHeight="1">
      <c r="A2" s="9" t="s">
        <v>51</v>
      </c>
      <c r="B2" s="9"/>
    </row>
    <row r="3" spans="1:2" ht="20.149999999999999" customHeight="1">
      <c r="A3" s="9" t="s">
        <v>113</v>
      </c>
      <c r="B3" s="9"/>
    </row>
    <row r="4" spans="1:2" ht="20.149999999999999" customHeight="1">
      <c r="A4" s="25" t="s">
        <v>114</v>
      </c>
      <c r="B4" s="25"/>
    </row>
    <row r="5" spans="1:2" ht="50.15" customHeight="1">
      <c r="A5" s="10" t="s">
        <v>74</v>
      </c>
      <c r="B5" s="22" t="s">
        <v>115</v>
      </c>
    </row>
    <row r="6" spans="1:2" ht="20.149999999999999" customHeight="1">
      <c r="A6" s="10" t="s">
        <v>116</v>
      </c>
      <c r="B6" s="76" t="s">
        <v>117</v>
      </c>
    </row>
    <row r="7" spans="1:2" ht="20.149999999999999" customHeight="1">
      <c r="A7" s="10" t="s">
        <v>89</v>
      </c>
      <c r="B7" s="77">
        <v>37178</v>
      </c>
    </row>
    <row r="8" spans="1:2" ht="20.5" customHeight="1">
      <c r="A8" s="10" t="s">
        <v>90</v>
      </c>
      <c r="B8" s="77">
        <v>44809</v>
      </c>
    </row>
    <row r="9" spans="1:2" ht="20.5" customHeight="1">
      <c r="A9" s="10" t="s">
        <v>91</v>
      </c>
      <c r="B9" s="77">
        <v>45266</v>
      </c>
    </row>
    <row r="10" spans="1:2" ht="20.25" customHeight="1">
      <c r="A10" s="10" t="s">
        <v>91</v>
      </c>
      <c r="B10" s="77">
        <v>40337</v>
      </c>
    </row>
  </sheetData>
  <phoneticPr fontId="171"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8">
    <tabColor rgb="FF002060"/>
  </sheetPr>
  <dimension ref="A1:H14"/>
  <sheetViews>
    <sheetView zoomScale="98" zoomScaleNormal="98" workbookViewId="0"/>
  </sheetViews>
  <sheetFormatPr defaultRowHeight="14.5"/>
  <cols>
    <col min="1" max="1" width="50.54296875" customWidth="1"/>
    <col min="2" max="8" width="20.54296875" customWidth="1"/>
  </cols>
  <sheetData>
    <row r="1" spans="1:8" ht="30" customHeight="1">
      <c r="A1" s="63" t="s">
        <v>118</v>
      </c>
      <c r="B1" s="12"/>
      <c r="C1" s="12"/>
      <c r="D1" s="12"/>
      <c r="E1" s="12"/>
      <c r="F1" s="12"/>
      <c r="G1" s="12"/>
      <c r="H1" s="12"/>
    </row>
    <row r="2" spans="1:8" s="44" customFormat="1" ht="20.149999999999999" customHeight="1">
      <c r="A2" s="19" t="s">
        <v>51</v>
      </c>
    </row>
    <row r="3" spans="1:8" s="44" customFormat="1" ht="20.149999999999999" customHeight="1">
      <c r="A3" s="79" t="s">
        <v>72</v>
      </c>
    </row>
    <row r="4" spans="1:8" ht="50.5" customHeight="1">
      <c r="A4" s="10" t="s">
        <v>74</v>
      </c>
      <c r="B4" s="34" t="s">
        <v>119</v>
      </c>
      <c r="C4" s="22" t="s">
        <v>120</v>
      </c>
      <c r="D4" s="22" t="s">
        <v>121</v>
      </c>
      <c r="E4" s="22" t="s">
        <v>122</v>
      </c>
      <c r="F4" s="22" t="s">
        <v>123</v>
      </c>
      <c r="G4" s="22" t="s">
        <v>124</v>
      </c>
      <c r="H4" s="22" t="s">
        <v>125</v>
      </c>
    </row>
    <row r="5" spans="1:8" ht="20.149999999999999" customHeight="1">
      <c r="A5" s="10" t="s">
        <v>82</v>
      </c>
      <c r="B5" s="66">
        <v>406523</v>
      </c>
      <c r="C5" s="35" t="s">
        <v>83</v>
      </c>
      <c r="D5" s="35" t="s">
        <v>83</v>
      </c>
      <c r="E5" s="35" t="s">
        <v>83</v>
      </c>
      <c r="F5" s="35" t="s">
        <v>83</v>
      </c>
      <c r="G5" s="35" t="s">
        <v>83</v>
      </c>
      <c r="H5" s="35" t="s">
        <v>83</v>
      </c>
    </row>
    <row r="6" spans="1:8" ht="20.149999999999999" customHeight="1">
      <c r="A6" s="10" t="s">
        <v>84</v>
      </c>
      <c r="B6" s="66">
        <v>326535</v>
      </c>
      <c r="C6" s="35" t="s">
        <v>83</v>
      </c>
      <c r="D6" s="35" t="s">
        <v>83</v>
      </c>
      <c r="E6" s="35" t="s">
        <v>83</v>
      </c>
      <c r="F6" s="35" t="s">
        <v>83</v>
      </c>
      <c r="G6" s="35" t="s">
        <v>83</v>
      </c>
      <c r="H6" s="35" t="s">
        <v>83</v>
      </c>
    </row>
    <row r="7" spans="1:8" ht="20.149999999999999" customHeight="1">
      <c r="A7" s="10" t="s">
        <v>85</v>
      </c>
      <c r="B7" s="66">
        <v>255000</v>
      </c>
      <c r="C7" s="35" t="s">
        <v>83</v>
      </c>
      <c r="D7" s="35" t="s">
        <v>83</v>
      </c>
      <c r="E7" s="35" t="s">
        <v>83</v>
      </c>
      <c r="F7" s="35" t="s">
        <v>83</v>
      </c>
      <c r="G7" s="35" t="s">
        <v>83</v>
      </c>
      <c r="H7" s="35" t="s">
        <v>83</v>
      </c>
    </row>
    <row r="8" spans="1:8" ht="20.149999999999999" customHeight="1">
      <c r="A8" s="39" t="s">
        <v>86</v>
      </c>
      <c r="B8" s="66">
        <v>293684</v>
      </c>
      <c r="C8" s="35" t="s">
        <v>83</v>
      </c>
      <c r="D8" s="35" t="s">
        <v>83</v>
      </c>
      <c r="E8" s="35" t="s">
        <v>83</v>
      </c>
      <c r="F8" s="35" t="s">
        <v>83</v>
      </c>
      <c r="G8" s="35" t="s">
        <v>83</v>
      </c>
      <c r="H8" s="35" t="s">
        <v>83</v>
      </c>
    </row>
    <row r="9" spans="1:8" ht="20.149999999999999" customHeight="1" thickBot="1">
      <c r="A9" s="40" t="s">
        <v>87</v>
      </c>
      <c r="B9" s="67">
        <v>563847</v>
      </c>
      <c r="C9" s="42" t="s">
        <v>83</v>
      </c>
      <c r="D9" s="42" t="s">
        <v>83</v>
      </c>
      <c r="E9" s="42" t="s">
        <v>83</v>
      </c>
      <c r="F9" s="42" t="s">
        <v>83</v>
      </c>
      <c r="G9" s="42" t="s">
        <v>83</v>
      </c>
      <c r="H9" s="42" t="s">
        <v>83</v>
      </c>
    </row>
    <row r="10" spans="1:8" ht="20.25" customHeight="1" thickTop="1">
      <c r="A10" s="10" t="s">
        <v>102</v>
      </c>
      <c r="B10" s="66">
        <v>365353</v>
      </c>
      <c r="C10" s="35" t="s">
        <v>83</v>
      </c>
      <c r="D10" s="35" t="s">
        <v>83</v>
      </c>
      <c r="E10" s="35" t="s">
        <v>83</v>
      </c>
      <c r="F10" s="35" t="s">
        <v>83</v>
      </c>
      <c r="G10" s="35" t="s">
        <v>83</v>
      </c>
      <c r="H10" s="35" t="s">
        <v>83</v>
      </c>
    </row>
    <row r="11" spans="1:8" ht="20.25" customHeight="1">
      <c r="A11" s="7" t="s">
        <v>126</v>
      </c>
      <c r="B11" s="61">
        <v>286238</v>
      </c>
      <c r="C11" s="26">
        <v>56873</v>
      </c>
      <c r="D11" s="26">
        <v>32402</v>
      </c>
      <c r="E11" s="26">
        <v>47102</v>
      </c>
      <c r="F11" s="26">
        <v>34714</v>
      </c>
      <c r="G11" s="26">
        <v>99538</v>
      </c>
      <c r="H11" s="26">
        <v>15609</v>
      </c>
    </row>
    <row r="12" spans="1:8" ht="20.25" customHeight="1">
      <c r="A12" s="10" t="s">
        <v>90</v>
      </c>
      <c r="B12" s="66">
        <v>346910</v>
      </c>
      <c r="C12" s="35">
        <v>93692</v>
      </c>
      <c r="D12" s="35">
        <v>68143</v>
      </c>
      <c r="E12" s="35">
        <v>45759</v>
      </c>
      <c r="F12" s="35">
        <v>17137</v>
      </c>
      <c r="G12" s="35">
        <v>82609</v>
      </c>
      <c r="H12" s="35">
        <v>39569</v>
      </c>
    </row>
    <row r="13" spans="1:8" ht="20.25" customHeight="1">
      <c r="A13" s="10" t="s">
        <v>91</v>
      </c>
      <c r="B13" s="66">
        <v>410562</v>
      </c>
      <c r="C13" s="35">
        <v>80129</v>
      </c>
      <c r="D13" s="35">
        <v>36983</v>
      </c>
      <c r="E13" s="35">
        <v>144483</v>
      </c>
      <c r="F13" s="35">
        <v>24431</v>
      </c>
      <c r="G13" s="35">
        <v>65927</v>
      </c>
      <c r="H13" s="35">
        <v>58610</v>
      </c>
    </row>
    <row r="14" spans="1:8" ht="19.5" customHeight="1">
      <c r="A14" s="10" t="s">
        <v>92</v>
      </c>
      <c r="B14" s="66">
        <v>334124</v>
      </c>
      <c r="C14" s="87" t="s">
        <v>83</v>
      </c>
      <c r="D14" s="87" t="s">
        <v>83</v>
      </c>
      <c r="E14" s="87" t="s">
        <v>83</v>
      </c>
      <c r="F14" s="87" t="s">
        <v>83</v>
      </c>
      <c r="G14" s="87" t="s">
        <v>83</v>
      </c>
      <c r="H14" s="87" t="s">
        <v>83</v>
      </c>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9">
    <tabColor rgb="FF002060"/>
  </sheetPr>
  <dimension ref="A1:E27"/>
  <sheetViews>
    <sheetView zoomScaleNormal="100" workbookViewId="0"/>
  </sheetViews>
  <sheetFormatPr defaultRowHeight="14.5"/>
  <cols>
    <col min="1" max="1" width="50.54296875" customWidth="1"/>
    <col min="2" max="2" width="20.54296875" customWidth="1"/>
    <col min="3" max="8" width="15.54296875" customWidth="1"/>
  </cols>
  <sheetData>
    <row r="1" spans="1:2" ht="30" customHeight="1">
      <c r="A1" s="63" t="s">
        <v>127</v>
      </c>
      <c r="B1" s="12"/>
    </row>
    <row r="2" spans="1:2" s="44" customFormat="1" ht="20.149999999999999" customHeight="1">
      <c r="A2" s="19" t="s">
        <v>51</v>
      </c>
    </row>
    <row r="3" spans="1:2" ht="50.15" customHeight="1">
      <c r="A3" s="10" t="s">
        <v>74</v>
      </c>
      <c r="B3" s="22" t="s">
        <v>128</v>
      </c>
    </row>
    <row r="4" spans="1:2" ht="20.25" customHeight="1">
      <c r="A4" s="10" t="s">
        <v>102</v>
      </c>
      <c r="B4" s="35">
        <v>51580</v>
      </c>
    </row>
    <row r="5" spans="1:2" ht="20.5" customHeight="1">
      <c r="A5" s="10" t="s">
        <v>89</v>
      </c>
      <c r="B5" s="35">
        <v>51592</v>
      </c>
    </row>
    <row r="6" spans="1:2" ht="20.5" customHeight="1">
      <c r="A6" s="10" t="s">
        <v>90</v>
      </c>
      <c r="B6" s="35">
        <v>51626</v>
      </c>
    </row>
    <row r="7" spans="1:2" ht="20.5" customHeight="1">
      <c r="A7" s="10" t="s">
        <v>91</v>
      </c>
      <c r="B7" s="35">
        <v>51626</v>
      </c>
    </row>
    <row r="8" spans="1:2" ht="20.25" customHeight="1">
      <c r="A8" s="10" t="s">
        <v>92</v>
      </c>
      <c r="B8" s="35">
        <v>28116</v>
      </c>
    </row>
    <row r="27" spans="5:5">
      <c r="E27" t="s">
        <v>129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Cover_sheet</vt:lpstr>
      <vt:lpstr>Notes </vt:lpstr>
      <vt:lpstr>Table_of_contents</vt:lpstr>
      <vt:lpstr>Table_4a</vt:lpstr>
      <vt:lpstr>Table_4b</vt:lpstr>
      <vt:lpstr>Table_4c</vt:lpstr>
      <vt:lpstr>Table_4d</vt:lpstr>
      <vt:lpstr>Table_4e</vt:lpstr>
      <vt:lpstr>Table_4f</vt:lpstr>
      <vt:lpstr>Table_4g</vt:lpstr>
      <vt:lpstr>Table_4h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Ritchie, Iain</cp:lastModifiedBy>
  <cp:revision/>
  <dcterms:created xsi:type="dcterms:W3CDTF">2021-11-15T13:31:27Z</dcterms:created>
  <dcterms:modified xsi:type="dcterms:W3CDTF">2025-07-18T15:01:51Z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