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Performance monitoring/2024-25 Annual Assessment/Draft data tables/"/>
    </mc:Choice>
  </mc:AlternateContent>
  <xr:revisionPtr revIDLastSave="983" documentId="13_ncr:1_{A3EA6257-822C-451D-B7BC-9F059BB945F1}" xr6:coauthVersionLast="47" xr6:coauthVersionMax="47" xr10:uidLastSave="{F2112EB1-6B87-4F6C-821B-87D1174C63F5}"/>
  <workbookProtection workbookAlgorithmName="SHA-512" workbookHashValue="rTdqVg/VpPkZQJmmZ1yk1KbSNqke+YMQV5fm/IKmna+5qOTQIyzLYm55wX1Fowjmg+gnqM0NN7iEvheThD41pQ==" workbookSaltValue="UrqW4HsfMdWhDf+U2i13aA==" workbookSpinCount="100000" lockStructure="1"/>
  <bookViews>
    <workbookView xWindow="-110" yWindow="-110" windowWidth="19420" windowHeight="11500" tabRatio="811" xr2:uid="{5D2AAEAF-2E29-4354-BE1C-896EFCD9B8D1}"/>
  </bookViews>
  <sheets>
    <sheet name="Cover_sheet" sheetId="4" r:id="rId1"/>
    <sheet name="Notes " sheetId="5" r:id="rId2"/>
    <sheet name="Table_of_contents" sheetId="12" r:id="rId3"/>
    <sheet name="Table_5a" sheetId="6" r:id="rId4"/>
    <sheet name="Table_5b" sheetId="7" r:id="rId5"/>
    <sheet name="Table_5c" sheetId="8" r:id="rId6"/>
    <sheet name="Table_5d" sheetId="9" r:id="rId7"/>
    <sheet name="Table_5e" sheetId="13" r:id="rId8"/>
    <sheet name="data" sheetId="16" state="veryHidden" r:id="rId9"/>
    <sheet name="workings" sheetId="15" state="veryHidden" r:id="rId10"/>
  </sheets>
  <definedNames>
    <definedName name="Slicer_KPI">#N/A</definedName>
    <definedName name="Slicer_Year">#N/A</definedName>
  </definedNames>
  <calcPr calcId="191028"/>
  <pivotCaches>
    <pivotCache cacheId="26"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16" l="1"/>
  <c r="B26" i="16"/>
  <c r="H26" i="16" s="1"/>
  <c r="C26" i="16"/>
  <c r="E26" i="16"/>
  <c r="F26" i="16"/>
  <c r="G26" i="16"/>
  <c r="A27" i="16"/>
  <c r="B27" i="16"/>
  <c r="J27" i="16" s="1"/>
  <c r="C27" i="16"/>
  <c r="E27" i="16"/>
  <c r="F27" i="16"/>
  <c r="G27" i="16"/>
  <c r="H27" i="16"/>
  <c r="I27" i="16"/>
  <c r="A23" i="16"/>
  <c r="B23" i="16"/>
  <c r="C23" i="16" s="1"/>
  <c r="A19" i="16"/>
  <c r="B19" i="16"/>
  <c r="C19" i="16" s="1"/>
  <c r="A15" i="16"/>
  <c r="B15" i="16"/>
  <c r="C15" i="16" s="1"/>
  <c r="B11" i="16"/>
  <c r="C11" i="16" s="1"/>
  <c r="A11" i="16"/>
  <c r="K26" i="16" l="1"/>
  <c r="J26" i="16"/>
  <c r="K27" i="16"/>
  <c r="I26" i="16"/>
  <c r="K23" i="16"/>
  <c r="J23" i="16"/>
  <c r="I23" i="16"/>
  <c r="H23" i="16"/>
  <c r="G23" i="16"/>
  <c r="F23" i="16"/>
  <c r="E23" i="16"/>
  <c r="K19" i="16"/>
  <c r="I19" i="16"/>
  <c r="H19" i="16"/>
  <c r="J19" i="16"/>
  <c r="G19" i="16"/>
  <c r="F19" i="16"/>
  <c r="E19" i="16"/>
  <c r="K15" i="16"/>
  <c r="J15" i="16"/>
  <c r="I15" i="16"/>
  <c r="H15" i="16"/>
  <c r="G15" i="16"/>
  <c r="F15" i="16"/>
  <c r="E15" i="16"/>
  <c r="K11" i="16"/>
  <c r="I11" i="16"/>
  <c r="G11" i="16"/>
  <c r="F11" i="16"/>
  <c r="J11" i="16"/>
  <c r="H11" i="16"/>
  <c r="E11" i="16"/>
  <c r="A26" i="15" l="1"/>
  <c r="M59" i="15"/>
  <c r="A59" i="15"/>
  <c r="S59" i="15" l="1"/>
  <c r="T59" i="15"/>
  <c r="N59" i="15"/>
  <c r="O59" i="15"/>
  <c r="H59" i="15"/>
  <c r="B59" i="15"/>
  <c r="C59" i="15"/>
  <c r="P59" i="15"/>
  <c r="Q59" i="15"/>
  <c r="R59" i="15"/>
  <c r="D59" i="15"/>
  <c r="G59" i="15"/>
  <c r="H10" i="16"/>
  <c r="B22" i="16"/>
  <c r="B18" i="16"/>
  <c r="B16" i="16"/>
  <c r="C16" i="16" s="1"/>
  <c r="B17" i="16"/>
  <c r="B20" i="16"/>
  <c r="B21" i="16"/>
  <c r="B24" i="16"/>
  <c r="E24" i="16" s="1"/>
  <c r="B25" i="16"/>
  <c r="E25" i="16" s="1"/>
  <c r="B14" i="16"/>
  <c r="A22" i="16"/>
  <c r="A18" i="16"/>
  <c r="A14" i="16"/>
  <c r="B10" i="16"/>
  <c r="F10" i="16" s="1"/>
  <c r="A10" i="16"/>
  <c r="A25" i="15"/>
  <c r="O63" i="15" l="1"/>
  <c r="O66" i="15" s="1"/>
  <c r="O62" i="15"/>
  <c r="O65" i="15" s="1"/>
  <c r="I25" i="16"/>
  <c r="C25" i="16"/>
  <c r="J25" i="16"/>
  <c r="E10" i="16"/>
  <c r="H25" i="16"/>
  <c r="K10" i="16"/>
  <c r="J10" i="16"/>
  <c r="I10" i="16"/>
  <c r="C10" i="16"/>
  <c r="G10" i="16"/>
  <c r="K25" i="16"/>
  <c r="G25" i="16"/>
  <c r="F25" i="16"/>
  <c r="E21" i="16"/>
  <c r="F21" i="16"/>
  <c r="G21" i="16"/>
  <c r="H21" i="16"/>
  <c r="I21" i="16"/>
  <c r="J21" i="16"/>
  <c r="K21" i="16"/>
  <c r="C21" i="16"/>
  <c r="E20" i="16"/>
  <c r="F20" i="16"/>
  <c r="G20" i="16"/>
  <c r="H20" i="16"/>
  <c r="I20" i="16"/>
  <c r="J20" i="16"/>
  <c r="K20" i="16"/>
  <c r="C20" i="16"/>
  <c r="E22" i="16"/>
  <c r="F22" i="16"/>
  <c r="G22" i="16"/>
  <c r="H22" i="16"/>
  <c r="I22" i="16"/>
  <c r="J22" i="16"/>
  <c r="K22" i="16"/>
  <c r="C22" i="16"/>
  <c r="E17" i="16"/>
  <c r="F17" i="16"/>
  <c r="G17" i="16"/>
  <c r="H17" i="16"/>
  <c r="I17" i="16"/>
  <c r="J17" i="16"/>
  <c r="K17" i="16"/>
  <c r="C17" i="16"/>
  <c r="E18" i="16"/>
  <c r="F18" i="16"/>
  <c r="G18" i="16"/>
  <c r="H18" i="16"/>
  <c r="I18" i="16"/>
  <c r="J18" i="16"/>
  <c r="K18" i="16"/>
  <c r="C18" i="16"/>
  <c r="E14" i="16"/>
  <c r="F14" i="16"/>
  <c r="G14" i="16"/>
  <c r="H14" i="16"/>
  <c r="I14" i="16"/>
  <c r="J14" i="16"/>
  <c r="K14" i="16"/>
  <c r="C14" i="16"/>
  <c r="K16" i="16"/>
  <c r="J16" i="16"/>
  <c r="H16" i="16"/>
  <c r="I16" i="16"/>
  <c r="G16" i="16"/>
  <c r="F16" i="16"/>
  <c r="E16" i="16"/>
  <c r="C24" i="16"/>
  <c r="A23" i="15"/>
  <c r="Q65" i="15" l="1"/>
  <c r="Q62" i="15"/>
  <c r="U62" i="15" s="1"/>
  <c r="Q66" i="15"/>
  <c r="Q63" i="15"/>
  <c r="U63" i="15" s="1"/>
  <c r="A24" i="15"/>
  <c r="F59" i="15"/>
  <c r="A25" i="16"/>
  <c r="A24" i="16"/>
  <c r="A21" i="16"/>
  <c r="A20" i="16"/>
  <c r="A17" i="16"/>
  <c r="A16" i="16"/>
  <c r="A13" i="16"/>
  <c r="A12" i="16"/>
  <c r="B13" i="16"/>
  <c r="B12" i="16"/>
  <c r="B4" i="16"/>
  <c r="B5" i="16"/>
  <c r="B6" i="16"/>
  <c r="C6" i="16" s="1"/>
  <c r="B7" i="16"/>
  <c r="B8" i="16"/>
  <c r="B9" i="16"/>
  <c r="B3" i="16"/>
  <c r="A4" i="16"/>
  <c r="A5" i="16"/>
  <c r="A6" i="16"/>
  <c r="A7" i="16"/>
  <c r="A8" i="16"/>
  <c r="A9" i="16"/>
  <c r="A3" i="16"/>
  <c r="R62" i="15" l="1"/>
  <c r="R63" i="15"/>
  <c r="U66" i="15"/>
  <c r="R66" i="15"/>
  <c r="U65" i="15"/>
  <c r="R65" i="15"/>
  <c r="E12" i="16"/>
  <c r="F12" i="16"/>
  <c r="G12" i="16"/>
  <c r="H12" i="16"/>
  <c r="I12" i="16"/>
  <c r="J12" i="16"/>
  <c r="K12" i="16"/>
  <c r="C12" i="16"/>
  <c r="E13" i="16"/>
  <c r="F13" i="16"/>
  <c r="G13" i="16"/>
  <c r="H13" i="16"/>
  <c r="I13" i="16"/>
  <c r="J13" i="16"/>
  <c r="K13" i="16"/>
  <c r="C13" i="16"/>
  <c r="C3" i="16"/>
  <c r="K3" i="16"/>
  <c r="E3" i="16"/>
  <c r="G3" i="16"/>
  <c r="I3" i="16"/>
  <c r="J3" i="16"/>
  <c r="F3" i="16"/>
  <c r="H3" i="16"/>
  <c r="F7" i="16"/>
  <c r="G7" i="16"/>
  <c r="H7" i="16"/>
  <c r="J7" i="16"/>
  <c r="K7" i="16"/>
  <c r="I7" i="16"/>
  <c r="I5" i="16"/>
  <c r="J5" i="16"/>
  <c r="F5" i="16"/>
  <c r="K5" i="16"/>
  <c r="E5" i="16"/>
  <c r="G5" i="16"/>
  <c r="H5" i="16"/>
  <c r="C4" i="16"/>
  <c r="H4" i="16"/>
  <c r="I4" i="16"/>
  <c r="E4" i="16"/>
  <c r="G4" i="16"/>
  <c r="J4" i="16"/>
  <c r="K4" i="16"/>
  <c r="F4" i="16"/>
  <c r="J6" i="16"/>
  <c r="C5" i="16"/>
  <c r="C8" i="16"/>
  <c r="E7" i="16"/>
  <c r="H6" i="16"/>
  <c r="C7" i="16"/>
  <c r="K6" i="16"/>
  <c r="I6" i="16"/>
  <c r="G6" i="16"/>
  <c r="F6" i="16"/>
  <c r="C9" i="16"/>
  <c r="E59" i="15"/>
  <c r="B79" i="15" s="1"/>
  <c r="A27" i="15" s="1"/>
  <c r="E6" i="16"/>
  <c r="B62" i="15" l="1"/>
  <c r="Y63" i="15"/>
  <c r="W63" i="15"/>
  <c r="Y62" i="15"/>
  <c r="W62" i="15"/>
  <c r="A75" i="15" l="1"/>
  <c r="E62" i="15"/>
  <c r="I62" i="15" s="1"/>
  <c r="B63" i="15"/>
  <c r="E65" i="15"/>
  <c r="I65" i="15" s="1"/>
  <c r="B65" i="15" a="1"/>
  <c r="B65" i="15" s="1"/>
  <c r="B68" i="15" s="1"/>
  <c r="F65" i="15" l="1"/>
  <c r="E66" i="15"/>
  <c r="I66" i="15" s="1"/>
  <c r="E63" i="15"/>
  <c r="F63" i="15" s="1"/>
  <c r="B66" i="15" a="1"/>
  <c r="B66" i="15" s="1"/>
  <c r="F62" i="15"/>
  <c r="K62" i="15"/>
  <c r="M62" i="15"/>
  <c r="B69" i="15" l="1"/>
  <c r="I63" i="15"/>
  <c r="M63" i="15" s="1"/>
  <c r="A73" i="15" s="1"/>
  <c r="F66" i="15"/>
  <c r="K63" i="15" l="1"/>
  <c r="A74" i="15" l="1"/>
  <c r="A76" i="15"/>
  <c r="A72" i="15"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<sst xmlns="http://schemas.openxmlformats.org/spreadsheetml/2006/main" count="353" uniqueCount="151">
  <si>
    <t>Table 5: Meeting the needs of all road users, England's strategic road network, April 2020 to March 2025</t>
  </si>
  <si>
    <r>
      <t xml:space="preserve">The Performance Specification (PS) sets out what the government expects National Highways to achieve in that road period. The first road period (road period 1) covered April 2015 to March 2020. The second road period (road period 2) covered April 2020 to March 2025. The PS includes a range of quantitative performance measures that ORR uses to hold National Highways to account for its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t>
    </r>
    <r>
      <rPr>
        <b/>
        <sz val="12"/>
        <color rgb="FF000000"/>
        <rFont val="Calibri"/>
      </rPr>
      <t>PS5: Meeting the needs of all road users</t>
    </r>
    <r>
      <rPr>
        <sz val="12"/>
        <color rgb="FF000000"/>
        <rFont val="Calibri"/>
      </rPr>
      <t xml:space="preserve">. The KPIs under this theme are:
</t>
    </r>
    <r>
      <rPr>
        <b/>
        <sz val="12"/>
        <color rgb="FF000000"/>
        <rFont val="Calibri"/>
      </rPr>
      <t xml:space="preserve">KPI: Road user satisfaction (National-level target: achieve a 73.0% road user satisfaction score in 2023-24, 71% in 2024-25)
KPI: Roadworks information timeliness and accuracy (National-level target for road period 2: 75% by the end of March 2025)
</t>
    </r>
    <r>
      <rPr>
        <sz val="12"/>
        <color rgb="FF000000"/>
        <rFont val="Calibri"/>
      </rPr>
      <t xml:space="preserve">From April 2020, the Strategic Roads User Survey (SRUS) has moved to online data collection, rather than face-to-face interview. Due to this change in methodology, as well as interruptions to travel behaviours due to the pandemic, the road user satisfaction KPI (Table 5a) was temporarily suspended to account for decreases in the overall satisfaction levels caused by reduced responses and methodology. </t>
    </r>
  </si>
  <si>
    <r>
      <t xml:space="preserve">The PIs under this theme have no targets:
</t>
    </r>
    <r>
      <rPr>
        <b/>
        <sz val="12"/>
        <color rgb="FF000000"/>
        <rFont val="Calibri"/>
        <family val="2"/>
      </rPr>
      <t>PI: Timeliness of information provided to road users through electronic signage
PI: Ride quality 
PI: Working with local highways authorities to review diversion routes for unplanned events.</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</si>
  <si>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</si>
  <si>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</si>
  <si>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</si>
  <si>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</si>
  <si>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</si>
  <si>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</si>
  <si>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</si>
  <si>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</si>
  <si>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</si>
  <si>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</si>
  <si>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</si>
  <si>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</si>
  <si>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</si>
  <si>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</si>
  <si>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</si>
  <si>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</si>
  <si>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</si>
  <si>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</si>
  <si>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</si>
  <si>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</si>
  <si>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</si>
  <si>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</si>
  <si>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</si>
  <si>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</si>
  <si>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</si>
  <si>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</si>
  <si>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</si>
  <si>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</si>
  <si>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</si>
  <si>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</si>
  <si>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</si>
  <si>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</si>
  <si>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</si>
  <si>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</si>
  <si>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</si>
  <si>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Data for 2020-21 and 2021-22 is affected by reduced travel demand due to the impact of the pandemic.</t>
  </si>
  <si>
    <t>Note 2</t>
  </si>
  <si>
    <t>Road user satisfaction KPI - due to the social distancing restrictions no data was available during 2020-21. The Strategic Roads User Survey (SRUS) replaced the National Road Users' Satisfaction Survey (NRUSS) in 2021-22. As a result, figures for road period 1 and road period 2 are not directly comparable.</t>
  </si>
  <si>
    <t xml:space="preserve">Note 3 </t>
  </si>
  <si>
    <t>For roadworks information timeliness and accuracy the metric only includes full carriageway or slip road closures.</t>
  </si>
  <si>
    <t>Note 4</t>
  </si>
  <si>
    <t>The calculations for the ride quality relate to lane 1 of the SRN and excludes roads contracted under a Design, Build, Finance, and Operate (DBFO) organisations.</t>
  </si>
  <si>
    <t>Note 5</t>
  </si>
  <si>
    <t xml:space="preserve">The break in the time series is due to a change in the methodology in the Ride quality PI introduced in April 2023. As a result, figures from before April 2023 are not comparable. </t>
  </si>
  <si>
    <t>Table of contents</t>
  </si>
  <si>
    <t>This worksheet contains one table.</t>
  </si>
  <si>
    <t>Worksheet name</t>
  </si>
  <si>
    <t>Worksheet title</t>
  </si>
  <si>
    <t>Table_5a</t>
  </si>
  <si>
    <r>
      <rPr>
        <b/>
        <sz val="12"/>
        <color rgb="FF000000"/>
        <rFont val="Calibri"/>
        <family val="2"/>
      </rPr>
      <t xml:space="preserve">Road user satisfaction: </t>
    </r>
    <r>
      <rPr>
        <sz val="12"/>
        <color rgb="FF000000"/>
        <rFont val="Calibri"/>
        <family val="2"/>
      </rPr>
      <t>The percentage of drivers who are satisfied with their journey on the strategic road network as measured by the Strategic Roads User Survey (SRUS) conducted by Transport Focus.</t>
    </r>
  </si>
  <si>
    <t>Table_5b</t>
  </si>
  <si>
    <r>
      <rPr>
        <b/>
        <sz val="12"/>
        <color rgb="FF000000"/>
        <rFont val="Calibri"/>
        <family val="2"/>
      </rPr>
      <t>Roadworks information timeliness and accuracy:</t>
    </r>
    <r>
      <rPr>
        <sz val="12"/>
        <color rgb="FF000000"/>
        <rFont val="Calibri"/>
        <family val="2"/>
      </rPr>
      <t xml:space="preserve"> The percentage of overnight road closures that are accurately notified by National Highways seven days in advance. A correctly notified road closure is one that commences within +/- 1 hour of the start time stated 7 days in advance on the Network Occupancy Management System (NOMS).</t>
    </r>
  </si>
  <si>
    <t>Table_5c</t>
  </si>
  <si>
    <r>
      <rPr>
        <b/>
        <sz val="12"/>
        <color rgb="FF000000"/>
        <rFont val="Calibri"/>
        <family val="2"/>
      </rPr>
      <t>Timeliness of information provided to road users through electronic signage:</t>
    </r>
    <r>
      <rPr>
        <sz val="12"/>
        <color rgb="FF000000"/>
        <rFont val="Calibri"/>
        <family val="2"/>
      </rPr>
      <t xml:space="preserve"> The average median time to set signs and signals on (all) motorways after National Highways has received notification of an incident, that requires signs and signals to be manually set.</t>
    </r>
  </si>
  <si>
    <t>Table_5d</t>
  </si>
  <si>
    <r>
      <rPr>
        <b/>
        <sz val="12"/>
        <color rgb="FF000000"/>
        <rFont val="Calibri"/>
        <family val="2"/>
      </rPr>
      <t>Ride quality:</t>
    </r>
    <r>
      <rPr>
        <sz val="12"/>
        <color rgb="FF000000"/>
        <rFont val="Calibri"/>
        <family val="2"/>
      </rPr>
      <t xml:space="preserve"> This measure reports the ride quality for the strategic road network using a subset of the pavement condition metric condition parameters. It is represented by the percentage of pavement asset delivering ride quality consistent with the 3m Enhanced Longitudinal Profile Variance (ELPV) value in National Highways, which is based on engineering factors and driver comfort.</t>
    </r>
  </si>
  <si>
    <t>Table_5e</t>
  </si>
  <si>
    <r>
      <rPr>
        <b/>
        <sz val="12"/>
        <color rgb="FF000000"/>
        <rFont val="Calibri"/>
        <family val="2"/>
      </rPr>
      <t>Working with local highways authorities to review diversion routes for unplanned events:</t>
    </r>
    <r>
      <rPr>
        <sz val="12"/>
        <color rgb="FF000000"/>
        <rFont val="Calibri"/>
        <family val="2"/>
      </rPr>
      <t xml:space="preserve"> the percentage of local highway authorities which National Highways engaged with to review diversion routes for unplanned 
events.</t>
    </r>
  </si>
  <si>
    <t>Table 5a:  Road user satisfaction by region, England's strategic road network, annual data, April 2015 to March 2025 [Note 2]</t>
  </si>
  <si>
    <t>A road period spans five years. The first road period (road period 1) commenced in April 2015 and ended in March 2020. The second road period (road period 2) commenced in April 2020 and ended in March 2025. A black dividing line is used to separate the two road periods.</t>
  </si>
  <si>
    <t>Some shorthand is used in this table, [x] = Data not available, [b] = break in time series.</t>
  </si>
  <si>
    <r>
      <rPr>
        <b/>
        <sz val="12"/>
        <color rgb="FFFF0000"/>
        <rFont val="Calibri"/>
        <family val="2"/>
      </rPr>
      <t xml:space="preserve">National-level target: </t>
    </r>
    <r>
      <rPr>
        <sz val="12"/>
        <color rgb="FFFF0000"/>
        <rFont val="Calibri"/>
        <family val="2"/>
      </rPr>
      <t>achieve a 73.0% road user satisfaction score in 2023-24.</t>
    </r>
  </si>
  <si>
    <t>Time period</t>
  </si>
  <si>
    <t>England's strategic road network
 (percentage satisfied)</t>
  </si>
  <si>
    <t>Yorkshire and North East
 (percentage satisfied)</t>
  </si>
  <si>
    <t>North West
 (percentage satisfied)</t>
  </si>
  <si>
    <t>Midlands
 (percentage satisfied)</t>
  </si>
  <si>
    <t>East
 (percentage satisfied)</t>
  </si>
  <si>
    <t>South East
 (percentage satisfied)</t>
  </si>
  <si>
    <t>South West
(percentage satisfied)</t>
  </si>
  <si>
    <t>April 2015 to March 2016</t>
  </si>
  <si>
    <t>April 2016 to March 2017</t>
  </si>
  <si>
    <t>April 2017 to March 2018</t>
  </si>
  <si>
    <t>April 2018 to March 2019</t>
  </si>
  <si>
    <t>April 2019 to March 2020</t>
  </si>
  <si>
    <t>April 2020 to March 2021  [Note 2] [b]</t>
  </si>
  <si>
    <t>[x]</t>
  </si>
  <si>
    <t>April 2021 to March 2022</t>
  </si>
  <si>
    <t>April 2022 to March 2023</t>
  </si>
  <si>
    <t>April 2023 to March 2024</t>
  </si>
  <si>
    <t>April 2024 to March 2025</t>
  </si>
  <si>
    <t>Table 5b: Roadworks information timeliness and accuracy by region, England's strategic road network, annual data, April 2020 to March 2025 [Note 3]</t>
  </si>
  <si>
    <r>
      <rPr>
        <b/>
        <sz val="12"/>
        <color rgb="FFFF0000"/>
        <rFont val="Calibri"/>
        <family val="2"/>
      </rPr>
      <t>National-level target for road period 2</t>
    </r>
    <r>
      <rPr>
        <sz val="12"/>
        <color rgb="FFFF0000"/>
        <rFont val="Calibri"/>
        <family val="2"/>
      </rPr>
      <t>: 75% by the end of 2025.</t>
    </r>
  </si>
  <si>
    <t>England's strategic road network
 (percentage)</t>
  </si>
  <si>
    <t>Yorkshire and North East
(percentage)</t>
  </si>
  <si>
    <t>North West
(percentage)</t>
  </si>
  <si>
    <t>Midlands
(percentage)</t>
  </si>
  <si>
    <t>East
(percentage)</t>
  </si>
  <si>
    <t>South East
(percentage)</t>
  </si>
  <si>
    <t>South West
(percentage)</t>
  </si>
  <si>
    <t>April 2020 to March 2021 [Note 1]</t>
  </si>
  <si>
    <t>Table 5c: Timeliness of information provided to road users through electronic signage by region, England's strategic road network, annual data, April 2020 to March 2025</t>
  </si>
  <si>
    <t>England's strategic road network
 (mm:ss)</t>
  </si>
  <si>
    <t>Yorkshire and North East
(mm:ss)</t>
  </si>
  <si>
    <t>North West
(mm:ss)</t>
  </si>
  <si>
    <t>Midlands
(mm:ss)</t>
  </si>
  <si>
    <t>East
(mm:ss)</t>
  </si>
  <si>
    <t>South East
(mm:ss)</t>
  </si>
  <si>
    <t>South West
(mm:ss)</t>
  </si>
  <si>
    <t>April 2020 to March 2021</t>
  </si>
  <si>
    <t xml:space="preserve">Table 5d: Ride quality by region, England's strategic road network, annual data, April 2020 to March 2025 [Note 4] </t>
  </si>
  <si>
    <t>April 2021 to March 2022 [p]</t>
  </si>
  <si>
    <t>April 2023 to March 2024 [Note 5]</t>
  </si>
  <si>
    <t>April 2024 to March 2025 [Note 5]</t>
  </si>
  <si>
    <t>Table 5e: Working with local highways authorities to review diversion routes for unplanned events by region, England's strategic road network, annual data, April 2020 to March 2025</t>
  </si>
  <si>
    <t>National Highways
 (percentage)</t>
  </si>
  <si>
    <t>Table</t>
  </si>
  <si>
    <t>Time frame</t>
  </si>
  <si>
    <t>Year</t>
  </si>
  <si>
    <t>KPI</t>
  </si>
  <si>
    <t>National Highways</t>
  </si>
  <si>
    <t>Yorkshire and North East</t>
  </si>
  <si>
    <t xml:space="preserve">North West
</t>
  </si>
  <si>
    <t xml:space="preserve">Midlands
</t>
  </si>
  <si>
    <t xml:space="preserve">East
</t>
  </si>
  <si>
    <t xml:space="preserve">South East
</t>
  </si>
  <si>
    <t xml:space="preserve">South West
</t>
  </si>
  <si>
    <t>Road user satisfaction</t>
  </si>
  <si>
    <t>Roadworks information timeliness and accuracy</t>
  </si>
  <si>
    <t>Timeliness of information provided to road users through electronic signage</t>
  </si>
  <si>
    <t>Ride Quality</t>
  </si>
  <si>
    <t>Working with local highways authorities to review diversion routes for unplanned events</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</si>
  <si>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</si>
  <si>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</si>
  <si>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</si>
  <si>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</si>
  <si>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</si>
  <si>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</si>
  <si>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</si>
  <si>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</si>
  <si>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2015-16</t>
  </si>
  <si>
    <t>2016-17</t>
  </si>
  <si>
    <t>2017-18</t>
  </si>
  <si>
    <t>2018-19</t>
  </si>
  <si>
    <t>2019-20</t>
  </si>
  <si>
    <t>2022-23</t>
  </si>
  <si>
    <t>2023-24</t>
  </si>
  <si>
    <t>Max of Yorkshire and North East</t>
  </si>
  <si>
    <t>Max of North West</t>
  </si>
  <si>
    <t xml:space="preserve">   </t>
  </si>
  <si>
    <t>Latest year</t>
  </si>
  <si>
    <t>compared to NH</t>
  </si>
  <si>
    <t>max</t>
  </si>
  <si>
    <t>Absolute value</t>
  </si>
  <si>
    <t>min</t>
  </si>
  <si>
    <t>Best performing</t>
  </si>
  <si>
    <t>Worst performing</t>
  </si>
  <si>
    <t>Transport Focus Strategic Road User Survey - 2024/25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</si>
</sst>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1">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 numFmtId="219" formatCode="0.000000"/>
    <numFmt numFmtId="220" formatCode="hh:mm:ss;@"/>
    <numFmt numFmtId="221" formatCode="m:ss.00"/>
  </numFmts>
  <fonts count="182">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sz val="12"/>
      <color rgb="FFFF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color theme="0"/>
      <name val="Calibri"/>
      <family val="2"/>
    </font>
    <font>
      <sz val="12"/>
      <name val="Calibri"/>
      <family val="2"/>
      <scheme val="minor"/>
    </font>
    <font>
      <sz val="12"/>
      <color rgb="FF000000"/>
      <name val="Calibri"/>
      <family val="2"/>
      <scheme val="minor"/>
    </font>
    <font>
      <b/>
      <sz val="12"/>
      <name val="Calibri"/>
      <family val="2"/>
    </font>
    <font>
      <b/>
      <sz val="14"/>
      <name val="Calibri"/>
      <family val="2"/>
    </font>
    <font>
      <sz val="12"/>
      <name val="Calibri"/>
      <family val="2"/>
    </font>
    <font>
      <b/>
      <sz val="12"/>
      <color rgb="FFFF0000"/>
      <name val="Calibri"/>
      <family val="2"/>
    </font>
    <font>
      <sz val="8"/>
      <name val="Calibri"/>
      <family val="2"/>
    </font>
    <font>
      <b/>
      <sz val="11"/>
      <name val="Calibri"/>
      <family val="2"/>
    </font>
    <font>
      <b/>
      <sz val="11"/>
      <color rgb="FF000000"/>
      <name val="Calibri"/>
      <family val="2"/>
    </font>
    <font>
      <sz val="10"/>
      <color rgb="FF000000"/>
      <name val="Calibri"/>
      <family val="2"/>
    </font>
    <font>
      <b/>
      <sz val="10"/>
      <color theme="0"/>
      <name val="Calibri"/>
      <family val="2"/>
    </font>
    <font>
      <sz val="11"/>
      <color theme="0" tint="-0.14999847407452621"/>
      <name val="Calibri"/>
      <family val="2"/>
    </font>
    <font>
      <sz val="12"/>
      <color theme="1"/>
      <name val="Calibri"/>
      <family val="2"/>
    </font>
    <font>
      <sz val="12"/>
      <color rgb="FF000000"/>
      <name val="Calibri"/>
    </font>
    <font>
      <b/>
      <sz val="12"/>
      <color rgb="FF000000"/>
      <name val="Calibri"/>
    </font>
    <font>
      <sz val="11"/>
      <name val="Calibri"/>
      <family val="2"/>
    </font>
  </fonts>
  <fills count="11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rgb="FFFFFF00"/>
        <bgColor indexed="64"/>
      </patternFill>
    </fill>
    <fill>
      <patternFill patternType="solid">
        <fgColor theme="4"/>
        <bgColor theme="4"/>
      </patternFill>
    </fill>
  </fills>
  <borders count="64">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ck">
        <color indexed="64"/>
      </left>
      <right/>
      <top/>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3" fillId="0" borderId="0" applyNumberFormat="0" applyFill="0" applyBorder="0" applyAlignment="0" applyProtection="0"/>
    <xf numFmtId="0" fontId="14" fillId="0" borderId="0"/>
    <xf numFmtId="43" fontId="1"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20" fillId="0" borderId="0"/>
    <xf numFmtId="0" fontId="20" fillId="0" borderId="0"/>
    <xf numFmtId="0" fontId="20" fillId="0" borderId="0"/>
    <xf numFmtId="0" fontId="20" fillId="0" borderId="0"/>
    <xf numFmtId="0" fontId="21" fillId="0" borderId="11" applyNumberFormat="0" applyFill="0" applyProtection="0">
      <alignment horizontal="center"/>
    </xf>
    <xf numFmtId="165" fontId="20" fillId="0" borderId="0" applyFont="0" applyFill="0" applyBorder="0" applyProtection="0">
      <alignment horizontal="right"/>
    </xf>
    <xf numFmtId="165" fontId="20" fillId="0" borderId="0" applyFont="0" applyFill="0" applyBorder="0" applyProtection="0">
      <alignment horizontal="right"/>
    </xf>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168" fontId="20" fillId="0" borderId="0" applyFont="0" applyFill="0" applyBorder="0" applyProtection="0">
      <alignment horizontal="right"/>
    </xf>
    <xf numFmtId="168" fontId="20" fillId="0" borderId="0" applyFont="0" applyFill="0" applyBorder="0" applyProtection="0">
      <alignment horizontal="right"/>
    </xf>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167" fontId="20" fillId="0" borderId="0" applyFont="0" applyFill="0" applyBorder="0" applyProtection="0">
      <alignment horizontal="right"/>
    </xf>
    <xf numFmtId="167" fontId="20" fillId="0" borderId="0" applyFont="0" applyFill="0" applyBorder="0" applyProtection="0">
      <alignment horizontal="right"/>
    </xf>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178" fontId="20" fillId="0" borderId="0" applyBorder="0"/>
    <xf numFmtId="0" fontId="40" fillId="51" borderId="12" applyNumberFormat="0" applyAlignment="0" applyProtection="0"/>
    <xf numFmtId="0" fontId="41" fillId="52" borderId="13" applyNumberFormat="0" applyAlignment="0" applyProtection="0"/>
    <xf numFmtId="167" fontId="22" fillId="0" borderId="0" applyFont="0" applyFill="0" applyBorder="0" applyProtection="0">
      <alignment horizontal="right"/>
    </xf>
    <xf numFmtId="169" fontId="22" fillId="0" borderId="0" applyFont="0" applyFill="0" applyBorder="0" applyProtection="0">
      <alignment horizontal="left"/>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4" fillId="0" borderId="14" applyNumberFormat="0" applyBorder="0" applyAlignment="0" applyProtection="0">
      <alignment horizontal="right" vertical="center"/>
    </xf>
    <xf numFmtId="179" fontId="20" fillId="0" borderId="0" applyFont="0" applyFill="0" applyBorder="0" applyAlignment="0" applyProtection="0"/>
    <xf numFmtId="0" fontId="42" fillId="0" borderId="0" applyNumberFormat="0" applyFill="0" applyBorder="0" applyAlignment="0" applyProtection="0"/>
    <xf numFmtId="0" fontId="55" fillId="0" borderId="0">
      <alignment horizontal="right"/>
      <protection locked="0"/>
    </xf>
    <xf numFmtId="0" fontId="23" fillId="0" borderId="0">
      <alignment horizontal="left"/>
    </xf>
    <xf numFmtId="0" fontId="24"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0" fontId="43" fillId="34" borderId="0" applyNumberFormat="0" applyBorder="0" applyAlignment="0" applyProtection="0"/>
    <xf numFmtId="38" fontId="15" fillId="53" borderId="0" applyNumberFormat="0" applyBorder="0" applyAlignment="0" applyProtection="0"/>
    <xf numFmtId="0" fontId="25" fillId="54" borderId="15" applyProtection="0">
      <alignment horizontal="right"/>
    </xf>
    <xf numFmtId="0" fontId="26" fillId="54" borderId="0" applyProtection="0">
      <alignment horizontal="left"/>
    </xf>
    <xf numFmtId="0" fontId="44" fillId="0" borderId="16" applyNumberFormat="0" applyFill="0" applyAlignment="0" applyProtection="0"/>
    <xf numFmtId="0" fontId="56" fillId="0" borderId="0">
      <alignment vertical="top" wrapText="1"/>
    </xf>
    <xf numFmtId="0" fontId="56" fillId="0" borderId="0">
      <alignment vertical="top" wrapText="1"/>
    </xf>
    <xf numFmtId="0" fontId="56" fillId="0" borderId="0">
      <alignment vertical="top" wrapText="1"/>
    </xf>
    <xf numFmtId="0" fontId="56" fillId="0" borderId="0">
      <alignment vertical="top" wrapText="1"/>
    </xf>
    <xf numFmtId="0" fontId="45" fillId="0" borderId="17" applyNumberFormat="0" applyFill="0" applyAlignment="0" applyProtection="0"/>
    <xf numFmtId="170" fontId="57" fillId="0" borderId="0" applyNumberFormat="0" applyFill="0" applyAlignment="0" applyProtection="0"/>
    <xf numFmtId="0" fontId="46" fillId="0" borderId="18" applyNumberFormat="0" applyFill="0" applyAlignment="0" applyProtection="0"/>
    <xf numFmtId="170" fontId="58" fillId="0" borderId="0" applyNumberFormat="0" applyFill="0" applyAlignment="0" applyProtection="0"/>
    <xf numFmtId="0" fontId="46" fillId="0" borderId="0" applyNumberFormat="0" applyFill="0" applyBorder="0" applyAlignment="0" applyProtection="0"/>
    <xf numFmtId="170" fontId="59" fillId="0" borderId="0" applyNumberFormat="0" applyFill="0" applyAlignment="0" applyProtection="0"/>
    <xf numFmtId="170" fontId="27" fillId="0" borderId="0" applyNumberFormat="0" applyFill="0" applyAlignment="0" applyProtection="0"/>
    <xf numFmtId="170" fontId="28" fillId="0" borderId="0" applyNumberFormat="0" applyFill="0" applyAlignment="0" applyProtection="0"/>
    <xf numFmtId="170" fontId="28" fillId="0" borderId="0" applyNumberFormat="0" applyFont="0" applyFill="0" applyBorder="0" applyAlignment="0" applyProtection="0"/>
    <xf numFmtId="170" fontId="28" fillId="0" borderId="0" applyNumberFormat="0" applyFont="0" applyFill="0" applyBorder="0" applyAlignment="0" applyProtection="0"/>
    <xf numFmtId="0" fontId="7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29" fillId="0" borderId="0" applyFill="0" applyBorder="0" applyProtection="0">
      <alignment horizontal="left"/>
    </xf>
    <xf numFmtId="10" fontId="15" fillId="55" borderId="9" applyNumberFormat="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25" fillId="0" borderId="19" applyProtection="0">
      <alignment horizontal="right"/>
    </xf>
    <xf numFmtId="0" fontId="25" fillId="0" borderId="15" applyProtection="0">
      <alignment horizontal="right"/>
    </xf>
    <xf numFmtId="0" fontId="25" fillId="0" borderId="20" applyProtection="0">
      <alignment horizontal="center"/>
      <protection locked="0"/>
    </xf>
    <xf numFmtId="0" fontId="48" fillId="0" borderId="21" applyNumberFormat="0" applyFill="0" applyAlignment="0" applyProtection="0"/>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49" fillId="44"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xf numFmtId="0" fontId="19" fillId="0" borderId="0"/>
    <xf numFmtId="0" fontId="20" fillId="0" borderId="0">
      <alignmen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56" borderId="22" applyNumberFormat="0" applyFont="0" applyAlignment="0" applyProtection="0"/>
    <xf numFmtId="0" fontId="50" fillId="51" borderId="23" applyNumberFormat="0" applyAlignment="0" applyProtection="0"/>
    <xf numFmtId="40" fontId="62" fillId="57" borderId="0">
      <alignment horizontal="right"/>
    </xf>
    <xf numFmtId="0" fontId="63" fillId="57" borderId="0">
      <alignment horizontal="right"/>
    </xf>
    <xf numFmtId="0" fontId="64" fillId="57" borderId="24"/>
    <xf numFmtId="0" fontId="64" fillId="0" borderId="0" applyBorder="0">
      <alignment horizontal="centerContinuous"/>
    </xf>
    <xf numFmtId="0" fontId="65" fillId="0" borderId="0" applyBorder="0">
      <alignment horizontal="centerContinuous"/>
    </xf>
    <xf numFmtId="171" fontId="20" fillId="0" borderId="0" applyFont="0" applyFill="0" applyBorder="0" applyProtection="0">
      <alignment horizontal="right"/>
    </xf>
    <xf numFmtId="171" fontId="20" fillId="0" borderId="0" applyFont="0" applyFill="0" applyBorder="0" applyProtection="0">
      <alignment horizontal="right"/>
    </xf>
    <xf numFmtId="10"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0" borderId="0"/>
    <xf numFmtId="2" fontId="66" fillId="58" borderId="10" applyAlignment="0" applyProtection="0">
      <protection locked="0"/>
    </xf>
    <xf numFmtId="0" fontId="67" fillId="55" borderId="10" applyNumberFormat="0" applyAlignment="0" applyProtection="0"/>
    <xf numFmtId="0" fontId="68" fillId="59" borderId="9" applyNumberFormat="0" applyAlignment="0" applyProtection="0">
      <alignment horizontal="center" vertical="center"/>
    </xf>
    <xf numFmtId="4" fontId="30" fillId="60" borderId="23" applyNumberFormat="0" applyProtection="0">
      <alignment vertical="center"/>
    </xf>
    <xf numFmtId="4" fontId="69" fillId="60" borderId="23" applyNumberFormat="0" applyProtection="0">
      <alignment vertical="center"/>
    </xf>
    <xf numFmtId="4" fontId="30" fillId="60" borderId="23" applyNumberFormat="0" applyProtection="0">
      <alignment horizontal="left" vertical="center" indent="1"/>
    </xf>
    <xf numFmtId="4" fontId="30" fillId="60" borderId="23" applyNumberFormat="0" applyProtection="0">
      <alignment horizontal="left" vertical="center" indent="1"/>
    </xf>
    <xf numFmtId="0" fontId="20" fillId="61" borderId="23" applyNumberFormat="0" applyProtection="0">
      <alignment horizontal="left" vertical="center" indent="1"/>
    </xf>
    <xf numFmtId="4" fontId="30" fillId="62" borderId="23" applyNumberFormat="0" applyProtection="0">
      <alignment horizontal="right" vertical="center"/>
    </xf>
    <xf numFmtId="4" fontId="30" fillId="63" borderId="23" applyNumberFormat="0" applyProtection="0">
      <alignment horizontal="right" vertical="center"/>
    </xf>
    <xf numFmtId="4" fontId="30" fillId="64" borderId="23" applyNumberFormat="0" applyProtection="0">
      <alignment horizontal="right" vertical="center"/>
    </xf>
    <xf numFmtId="4" fontId="30" fillId="65" borderId="23" applyNumberFormat="0" applyProtection="0">
      <alignment horizontal="right" vertical="center"/>
    </xf>
    <xf numFmtId="4" fontId="30" fillId="66" borderId="23" applyNumberFormat="0" applyProtection="0">
      <alignment horizontal="right" vertical="center"/>
    </xf>
    <xf numFmtId="4" fontId="30" fillId="67" borderId="23" applyNumberFormat="0" applyProtection="0">
      <alignment horizontal="right" vertical="center"/>
    </xf>
    <xf numFmtId="4" fontId="30" fillId="68" borderId="23" applyNumberFormat="0" applyProtection="0">
      <alignment horizontal="right" vertical="center"/>
    </xf>
    <xf numFmtId="4" fontId="30" fillId="69" borderId="23" applyNumberFormat="0" applyProtection="0">
      <alignment horizontal="right" vertical="center"/>
    </xf>
    <xf numFmtId="4" fontId="30" fillId="70" borderId="23" applyNumberFormat="0" applyProtection="0">
      <alignment horizontal="right" vertical="center"/>
    </xf>
    <xf numFmtId="4" fontId="70" fillId="71" borderId="23" applyNumberFormat="0" applyProtection="0">
      <alignment horizontal="left" vertical="center" indent="1"/>
    </xf>
    <xf numFmtId="4" fontId="30" fillId="72" borderId="25" applyNumberFormat="0" applyProtection="0">
      <alignment horizontal="left" vertical="center" indent="1"/>
    </xf>
    <xf numFmtId="4" fontId="71" fillId="73" borderId="0" applyNumberFormat="0" applyProtection="0">
      <alignment horizontal="left" vertical="center" indent="1"/>
    </xf>
    <xf numFmtId="0" fontId="20" fillId="61" borderId="23" applyNumberFormat="0" applyProtection="0">
      <alignment horizontal="left" vertical="center" indent="1"/>
    </xf>
    <xf numFmtId="4" fontId="30" fillId="72" borderId="23" applyNumberFormat="0" applyProtection="0">
      <alignment horizontal="left" vertical="center" indent="1"/>
    </xf>
    <xf numFmtId="4" fontId="30" fillId="74" borderId="23" applyNumberFormat="0" applyProtection="0">
      <alignment horizontal="left" vertical="center" indent="1"/>
    </xf>
    <xf numFmtId="0" fontId="20" fillId="74" borderId="23" applyNumberFormat="0" applyProtection="0">
      <alignment horizontal="left" vertical="center" indent="1"/>
    </xf>
    <xf numFmtId="0" fontId="20" fillId="74" borderId="23" applyNumberFormat="0" applyProtection="0">
      <alignment horizontal="left" vertical="center" indent="1"/>
    </xf>
    <xf numFmtId="0" fontId="20" fillId="59" borderId="23" applyNumberFormat="0" applyProtection="0">
      <alignment horizontal="left" vertical="center" indent="1"/>
    </xf>
    <xf numFmtId="0" fontId="20" fillId="59" borderId="23" applyNumberFormat="0" applyProtection="0">
      <alignment horizontal="left" vertical="center" indent="1"/>
    </xf>
    <xf numFmtId="0" fontId="20" fillId="53" borderId="23" applyNumberFormat="0" applyProtection="0">
      <alignment horizontal="left" vertical="center" indent="1"/>
    </xf>
    <xf numFmtId="0" fontId="20" fillId="53" borderId="23" applyNumberFormat="0" applyProtection="0">
      <alignment horizontal="left" vertical="center" indent="1"/>
    </xf>
    <xf numFmtId="0" fontId="20" fillId="61" borderId="23" applyNumberFormat="0" applyProtection="0">
      <alignment horizontal="left" vertical="center" indent="1"/>
    </xf>
    <xf numFmtId="0" fontId="20" fillId="61" borderId="23" applyNumberFormat="0" applyProtection="0">
      <alignment horizontal="left" vertical="center" indent="1"/>
    </xf>
    <xf numFmtId="4" fontId="30" fillId="55" borderId="23" applyNumberFormat="0" applyProtection="0">
      <alignment vertical="center"/>
    </xf>
    <xf numFmtId="4" fontId="69" fillId="55" borderId="23" applyNumberFormat="0" applyProtection="0">
      <alignment vertical="center"/>
    </xf>
    <xf numFmtId="4" fontId="30" fillId="55" borderId="23" applyNumberFormat="0" applyProtection="0">
      <alignment horizontal="left" vertical="center" indent="1"/>
    </xf>
    <xf numFmtId="4" fontId="30" fillId="55" borderId="23" applyNumberFormat="0" applyProtection="0">
      <alignment horizontal="left" vertical="center" indent="1"/>
    </xf>
    <xf numFmtId="4" fontId="30" fillId="72" borderId="23" applyNumberFormat="0" applyProtection="0">
      <alignment horizontal="right" vertical="center"/>
    </xf>
    <xf numFmtId="4" fontId="69" fillId="72" borderId="23" applyNumberFormat="0" applyProtection="0">
      <alignment horizontal="right" vertical="center"/>
    </xf>
    <xf numFmtId="0" fontId="20" fillId="61" borderId="23" applyNumberFormat="0" applyProtection="0">
      <alignment horizontal="left" vertical="center" indent="1"/>
    </xf>
    <xf numFmtId="0" fontId="20" fillId="61" borderId="23" applyNumberFormat="0" applyProtection="0">
      <alignment horizontal="left" vertical="center" indent="1"/>
    </xf>
    <xf numFmtId="0" fontId="72" fillId="0" borderId="0"/>
    <xf numFmtId="4" fontId="73" fillId="72" borderId="23" applyNumberFormat="0" applyProtection="0">
      <alignment horizontal="right" vertical="center"/>
    </xf>
    <xf numFmtId="0" fontId="20" fillId="0" borderId="0"/>
    <xf numFmtId="0" fontId="31" fillId="57" borderId="8">
      <alignment horizontal="center"/>
    </xf>
    <xf numFmtId="3" fontId="32" fillId="57" borderId="0"/>
    <xf numFmtId="3" fontId="31" fillId="57" borderId="0"/>
    <xf numFmtId="0" fontId="32" fillId="57" borderId="0"/>
    <xf numFmtId="0" fontId="31" fillId="57" borderId="0"/>
    <xf numFmtId="0" fontId="32" fillId="57" borderId="0">
      <alignment horizontal="center"/>
    </xf>
    <xf numFmtId="0" fontId="33" fillId="0" borderId="0">
      <alignment wrapText="1"/>
    </xf>
    <xf numFmtId="0" fontId="33" fillId="0" borderId="0">
      <alignment wrapText="1"/>
    </xf>
    <xf numFmtId="0" fontId="33" fillId="0" borderId="0">
      <alignment wrapText="1"/>
    </xf>
    <xf numFmtId="0" fontId="33" fillId="0" borderId="0">
      <alignment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4" fillId="75" borderId="0">
      <alignment horizontal="right" vertical="top" wrapText="1"/>
    </xf>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7" fillId="0" borderId="0"/>
    <xf numFmtId="0" fontId="37" fillId="0" borderId="0"/>
    <xf numFmtId="0" fontId="37" fillId="0" borderId="0"/>
    <xf numFmtId="172" fontId="15" fillId="0" borderId="0">
      <alignment wrapText="1"/>
      <protection locked="0"/>
    </xf>
    <xf numFmtId="172" fontId="15" fillId="0"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34" fillId="76" borderId="0">
      <alignment wrapText="1"/>
      <protection locked="0"/>
    </xf>
    <xf numFmtId="172" fontId="15" fillId="0" borderId="0">
      <alignment wrapText="1"/>
      <protection locked="0"/>
    </xf>
    <xf numFmtId="173" fontId="15" fillId="0" borderId="0">
      <alignment wrapText="1"/>
      <protection locked="0"/>
    </xf>
    <xf numFmtId="173" fontId="15" fillId="0" borderId="0">
      <alignment wrapText="1"/>
      <protection locked="0"/>
    </xf>
    <xf numFmtId="173" fontId="15" fillId="0"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34" fillId="76" borderId="0">
      <alignment wrapText="1"/>
      <protection locked="0"/>
    </xf>
    <xf numFmtId="173" fontId="15" fillId="0" borderId="0">
      <alignment wrapText="1"/>
      <protection locked="0"/>
    </xf>
    <xf numFmtId="174" fontId="15" fillId="0" borderId="0">
      <alignment wrapText="1"/>
      <protection locked="0"/>
    </xf>
    <xf numFmtId="174" fontId="15" fillId="0"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34" fillId="76" borderId="0">
      <alignment wrapText="1"/>
      <protection locked="0"/>
    </xf>
    <xf numFmtId="174" fontId="15" fillId="0" borderId="0">
      <alignment wrapText="1"/>
      <protection locked="0"/>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40" fontId="74" fillId="0" borderId="0"/>
    <xf numFmtId="0" fontId="51" fillId="0" borderId="0" applyNumberFormat="0" applyFill="0" applyBorder="0" applyAlignment="0" applyProtection="0"/>
    <xf numFmtId="0" fontId="75" fillId="0" borderId="0" applyNumberFormat="0" applyFill="0" applyBorder="0" applyProtection="0">
      <alignment horizontal="left" vertical="center" indent="10"/>
    </xf>
    <xf numFmtId="0" fontId="75" fillId="0" borderId="0" applyNumberFormat="0" applyFill="0" applyBorder="0" applyProtection="0">
      <alignment horizontal="left" vertical="center" indent="10"/>
    </xf>
    <xf numFmtId="0" fontId="52" fillId="0" borderId="28" applyNumberFormat="0" applyFill="0" applyAlignment="0" applyProtection="0"/>
    <xf numFmtId="0" fontId="53" fillId="0" borderId="0" applyNumberFormat="0" applyFill="0" applyBorder="0" applyAlignment="0" applyProtection="0"/>
    <xf numFmtId="0" fontId="15"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182" fontId="20" fillId="0" borderId="0" applyNumberFormat="0" applyFont="0" applyBorder="0" applyAlignment="0">
      <alignment horizontal="right" indent="1"/>
    </xf>
    <xf numFmtId="182" fontId="20" fillId="0" borderId="0" applyNumberFormat="0" applyFont="0" applyBorder="0" applyAlignment="0">
      <alignment horizontal="right" indent="1"/>
    </xf>
    <xf numFmtId="0" fontId="19" fillId="36"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1" borderId="0" applyNumberFormat="0" applyBorder="0" applyAlignment="0" applyProtection="0"/>
    <xf numFmtId="0" fontId="19" fillId="51"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52" borderId="0" applyNumberFormat="0" applyBorder="0" applyAlignment="0" applyProtection="0"/>
    <xf numFmtId="0" fontId="19" fillId="5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20" fillId="79" borderId="32"/>
    <xf numFmtId="0" fontId="20" fillId="79" borderId="32"/>
    <xf numFmtId="0" fontId="20" fillId="79" borderId="32"/>
    <xf numFmtId="0" fontId="20" fillId="79" borderId="32"/>
    <xf numFmtId="0" fontId="20" fillId="79" borderId="32"/>
    <xf numFmtId="195" fontId="20" fillId="0" borderId="0">
      <protection locked="0"/>
    </xf>
    <xf numFmtId="195" fontId="20" fillId="0" borderId="33">
      <protection locked="0"/>
    </xf>
    <xf numFmtId="10" fontId="20" fillId="57" borderId="9">
      <alignment horizontal="right"/>
    </xf>
    <xf numFmtId="183" fontId="20" fillId="57" borderId="0"/>
    <xf numFmtId="182" fontId="20" fillId="0" borderId="10"/>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0" fontId="80" fillId="53" borderId="9" applyAlignment="0"/>
    <xf numFmtId="182" fontId="81" fillId="64" borderId="0"/>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82" fillId="60" borderId="9"/>
    <xf numFmtId="15" fontId="20" fillId="0" borderId="0"/>
    <xf numFmtId="15" fontId="20" fillId="0" borderId="0"/>
    <xf numFmtId="15" fontId="20" fillId="0" borderId="0"/>
    <xf numFmtId="15" fontId="20" fillId="0" borderId="0"/>
    <xf numFmtId="15" fontId="20" fillId="0" borderId="0"/>
    <xf numFmtId="15" fontId="20" fillId="0" borderId="0">
      <alignment horizontal="right" indent="1"/>
    </xf>
    <xf numFmtId="17" fontId="20" fillId="0" borderId="0">
      <alignment horizontal="right" indent="1"/>
    </xf>
    <xf numFmtId="194" fontId="20" fillId="0" borderId="0">
      <alignment horizontal="right" indent="1"/>
    </xf>
    <xf numFmtId="0" fontId="78" fillId="0" borderId="0" applyNumberFormat="0" applyFill="0" applyBorder="0" applyAlignment="0" applyProtection="0"/>
    <xf numFmtId="183" fontId="80" fillId="82" borderId="9">
      <alignment horizontal="center"/>
    </xf>
    <xf numFmtId="184" fontId="82" fillId="82" borderId="9"/>
    <xf numFmtId="187" fontId="80" fillId="70" borderId="9" applyNumberFormat="0" applyFont="0" applyBorder="0" applyAlignment="0"/>
    <xf numFmtId="40" fontId="84" fillId="55" borderId="0" applyNumberFormat="0" applyBorder="0" applyAlignment="0" applyProtection="0"/>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20" fillId="0" borderId="0" applyNumberFormat="0" applyFont="0" applyFill="0" applyBorder="0" applyAlignment="0">
      <alignment horizontal="center"/>
    </xf>
    <xf numFmtId="0" fontId="85" fillId="39" borderId="0" applyNumberFormat="0" applyBorder="0" applyAlignment="0" applyProtection="0"/>
    <xf numFmtId="0" fontId="85" fillId="39" borderId="0" applyNumberFormat="0" applyBorder="0" applyAlignment="0" applyProtection="0"/>
    <xf numFmtId="0" fontId="86" fillId="0" borderId="0">
      <alignment horizontal="left" vertical="top"/>
    </xf>
    <xf numFmtId="0" fontId="87" fillId="0" borderId="0">
      <alignment horizontal="left" vertical="top"/>
    </xf>
    <xf numFmtId="0" fontId="102" fillId="0" borderId="0"/>
    <xf numFmtId="0" fontId="103" fillId="0" borderId="0"/>
    <xf numFmtId="0" fontId="88" fillId="74" borderId="0" applyNumberFormat="0"/>
    <xf numFmtId="0" fontId="88" fillId="74" borderId="0" applyNumberFormat="0"/>
    <xf numFmtId="0" fontId="57" fillId="53" borderId="0"/>
    <xf numFmtId="0" fontId="57" fillId="53" borderId="0"/>
    <xf numFmtId="0" fontId="89" fillId="0" borderId="34"/>
    <xf numFmtId="0" fontId="89" fillId="0" borderId="34"/>
    <xf numFmtId="0" fontId="89" fillId="0" borderId="35"/>
    <xf numFmtId="0" fontId="89" fillId="0" borderId="35"/>
    <xf numFmtId="0" fontId="89" fillId="0" borderId="35"/>
    <xf numFmtId="0" fontId="89" fillId="0" borderId="35"/>
    <xf numFmtId="0" fontId="90" fillId="0" borderId="0"/>
    <xf numFmtId="0" fontId="91" fillId="0" borderId="0"/>
    <xf numFmtId="164" fontId="20" fillId="6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3" fontId="20" fillId="60" borderId="9">
      <protection locked="0"/>
    </xf>
    <xf numFmtId="0" fontId="92" fillId="0" borderId="0">
      <alignment horizontal="left"/>
    </xf>
    <xf numFmtId="188" fontId="20" fillId="80" borderId="9"/>
    <xf numFmtId="0" fontId="59" fillId="0" borderId="0">
      <alignment horizontal="left" indent="1"/>
    </xf>
    <xf numFmtId="0" fontId="59" fillId="0" borderId="0">
      <alignment horizontal="left" indent="1"/>
    </xf>
    <xf numFmtId="0" fontId="59" fillId="0" borderId="0">
      <alignment horizontal="left" indent="1"/>
    </xf>
    <xf numFmtId="184" fontId="83" fillId="58" borderId="9"/>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36" fillId="0" borderId="0">
      <alignment horizontal="right"/>
    </xf>
    <xf numFmtId="0" fontId="20" fillId="0" borderId="0"/>
    <xf numFmtId="0" fontId="20" fillId="0" borderId="0"/>
    <xf numFmtId="0" fontId="20" fillId="0" borderId="0"/>
    <xf numFmtId="0" fontId="20" fillId="0" borderId="0"/>
    <xf numFmtId="0" fontId="1" fillId="0" borderId="0"/>
    <xf numFmtId="0" fontId="105" fillId="0" borderId="0"/>
    <xf numFmtId="0" fontId="1" fillId="0" borderId="0"/>
    <xf numFmtId="0" fontId="20" fillId="60" borderId="0">
      <alignment horizontal="left" indent="1"/>
      <protection locked="0"/>
    </xf>
    <xf numFmtId="0" fontId="20" fillId="60" borderId="0">
      <alignment horizontal="left" indent="1"/>
      <protection locked="0"/>
    </xf>
    <xf numFmtId="0" fontId="93" fillId="42" borderId="36" applyNumberFormat="0" applyFont="0" applyAlignment="0" applyProtection="0"/>
    <xf numFmtId="0" fontId="93" fillId="42" borderId="36" applyNumberFormat="0" applyFont="0" applyAlignment="0" applyProtection="0"/>
    <xf numFmtId="0" fontId="15" fillId="0" borderId="0">
      <alignment horizontal="left" indent="1"/>
    </xf>
    <xf numFmtId="0" fontId="15" fillId="0" borderId="0">
      <alignment horizontal="left" indent="1"/>
    </xf>
    <xf numFmtId="0" fontId="15" fillId="0" borderId="0">
      <alignment horizontal="left" indent="1"/>
    </xf>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3" fontId="20" fillId="0" borderId="0">
      <alignment horizontal="right" indent="1"/>
    </xf>
    <xf numFmtId="166" fontId="20" fillId="0" borderId="0">
      <alignment horizontal="right" indent="1"/>
    </xf>
    <xf numFmtId="4" fontId="20" fillId="0" borderId="0">
      <alignment horizontal="right" indent="1"/>
    </xf>
    <xf numFmtId="182" fontId="20" fillId="0" borderId="0">
      <alignment horizontal="right" indent="1"/>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3" fontId="20" fillId="60" borderId="37" applyFont="0" applyFill="0" applyBorder="0" applyAlignment="0" applyProtection="0">
      <protection locked="0"/>
    </xf>
    <xf numFmtId="192" fontId="93" fillId="57" borderId="38" applyNumberFormat="0">
      <alignment vertical="center"/>
    </xf>
    <xf numFmtId="192" fontId="93" fillId="84" borderId="38" applyNumberFormat="0">
      <alignment vertical="center"/>
    </xf>
    <xf numFmtId="192" fontId="93" fillId="82" borderId="38" applyNumberFormat="0">
      <alignment vertical="center"/>
    </xf>
    <xf numFmtId="192" fontId="93" fillId="80" borderId="38" applyNumberFormat="0">
      <alignment vertical="center"/>
    </xf>
    <xf numFmtId="192" fontId="93" fillId="62" borderId="38" applyNumberFormat="0">
      <alignment vertical="center"/>
    </xf>
    <xf numFmtId="192" fontId="93" fillId="53" borderId="38" applyNumberFormat="0">
      <alignment vertical="center"/>
    </xf>
    <xf numFmtId="192" fontId="93" fillId="65" borderId="38" applyNumberFormat="0">
      <alignment vertical="center"/>
    </xf>
    <xf numFmtId="192" fontId="93" fillId="85" borderId="38" applyNumberFormat="0">
      <alignment vertical="center"/>
    </xf>
    <xf numFmtId="192" fontId="93" fillId="69" borderId="38" applyNumberFormat="0">
      <alignment vertical="center"/>
    </xf>
    <xf numFmtId="192" fontId="93" fillId="86" borderId="38" applyNumberFormat="0">
      <alignment vertical="center"/>
    </xf>
    <xf numFmtId="192" fontId="94" fillId="60" borderId="38">
      <protection locked="0"/>
    </xf>
    <xf numFmtId="192" fontId="94" fillId="58" borderId="38">
      <protection locked="0"/>
    </xf>
    <xf numFmtId="192" fontId="95" fillId="58" borderId="39" applyNumberFormat="0" applyFont="0" applyFill="0" applyAlignment="0" applyProtection="0">
      <protection locked="0"/>
    </xf>
    <xf numFmtId="192" fontId="36" fillId="0" borderId="0" applyNumberFormat="0" applyFill="0">
      <alignment horizontal="left" vertical="top"/>
    </xf>
    <xf numFmtId="192" fontId="36" fillId="0" borderId="0" applyNumberFormat="0" applyFill="0">
      <alignment horizontal="left" vertical="top"/>
    </xf>
    <xf numFmtId="192" fontId="36" fillId="0" borderId="0" applyNumberFormat="0" applyFill="0">
      <alignment horizontal="left" vertical="top"/>
    </xf>
    <xf numFmtId="0" fontId="96" fillId="67" borderId="0" applyNumberFormat="0">
      <alignment horizontal="left" vertical="center" indent="1"/>
    </xf>
    <xf numFmtId="0" fontId="88" fillId="74" borderId="0" applyNumberFormat="0">
      <alignment vertical="center"/>
    </xf>
    <xf numFmtId="0" fontId="57" fillId="53" borderId="0">
      <alignment vertical="center"/>
    </xf>
    <xf numFmtId="0" fontId="89" fillId="0" borderId="34">
      <alignment vertical="center"/>
    </xf>
    <xf numFmtId="190" fontId="20" fillId="57" borderId="0">
      <alignment horizontal="right"/>
    </xf>
    <xf numFmtId="0" fontId="50" fillId="81" borderId="23" applyNumberFormat="0" applyAlignment="0" applyProtection="0"/>
    <xf numFmtId="0" fontId="50" fillId="81" borderId="23" applyNumberFormat="0" applyAlignment="0" applyProtection="0"/>
    <xf numFmtId="191" fontId="30" fillId="81" borderId="0">
      <alignment horizontal="right"/>
    </xf>
    <xf numFmtId="0" fontId="97" fillId="87" borderId="0">
      <alignment horizontal="center"/>
    </xf>
    <xf numFmtId="0" fontId="81" fillId="88" borderId="0"/>
    <xf numFmtId="0" fontId="98" fillId="81" borderId="0" applyBorder="0">
      <alignment horizontal="centerContinuous"/>
    </xf>
    <xf numFmtId="0" fontId="99" fillId="88" borderId="0" applyBorder="0">
      <alignment horizontal="centerContinuous"/>
    </xf>
    <xf numFmtId="9" fontId="20" fillId="0" borderId="0">
      <alignment horizontal="right" indent="1"/>
    </xf>
    <xf numFmtId="164" fontId="20" fillId="0" borderId="0">
      <alignment horizontal="right" indent="1"/>
    </xf>
    <xf numFmtId="10" fontId="20" fillId="0" borderId="0">
      <alignment horizontal="right" indent="1"/>
    </xf>
    <xf numFmtId="9" fontId="20"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20" fillId="53" borderId="0">
      <protection locked="0"/>
    </xf>
    <xf numFmtId="0" fontId="20" fillId="53" borderId="0">
      <protection locked="0"/>
    </xf>
    <xf numFmtId="0" fontId="20" fillId="53" borderId="0">
      <protection locked="0"/>
    </xf>
    <xf numFmtId="0" fontId="20" fillId="53" borderId="0">
      <protection locked="0"/>
    </xf>
    <xf numFmtId="0" fontId="20" fillId="53" borderId="0">
      <protection locked="0"/>
    </xf>
    <xf numFmtId="0" fontId="57" fillId="0" borderId="0">
      <alignment horizontal="left" indent="1"/>
    </xf>
    <xf numFmtId="0" fontId="77" fillId="0" borderId="0">
      <alignment horizontal="left" indent="1"/>
    </xf>
    <xf numFmtId="0" fontId="59" fillId="53" borderId="9">
      <alignment horizontal="center" vertical="center" wrapText="1"/>
    </xf>
    <xf numFmtId="0" fontId="100" fillId="89" borderId="29">
      <alignment vertical="top" wrapText="1"/>
    </xf>
    <xf numFmtId="164" fontId="20" fillId="72" borderId="9"/>
    <xf numFmtId="0" fontId="27" fillId="0" borderId="0">
      <alignment horizontal="left"/>
    </xf>
    <xf numFmtId="41" fontId="20" fillId="0" borderId="0" applyFont="0" applyFill="0" applyBorder="0" applyAlignment="0" applyProtection="0"/>
    <xf numFmtId="41" fontId="20" fillId="0" borderId="0" applyFont="0" applyFill="0" applyBorder="0" applyAlignment="0" applyProtection="0"/>
    <xf numFmtId="0" fontId="22" fillId="0" borderId="0">
      <alignment vertical="top"/>
    </xf>
    <xf numFmtId="191" fontId="80" fillId="80" borderId="40"/>
    <xf numFmtId="0" fontId="80" fillId="60" borderId="9"/>
    <xf numFmtId="0" fontId="101" fillId="0" borderId="0" applyNumberFormat="0" applyFill="0" applyBorder="0" applyAlignment="0" applyProtection="0"/>
    <xf numFmtId="0" fontId="101" fillId="0" borderId="0" applyNumberFormat="0" applyFill="0" applyBorder="0" applyAlignment="0" applyProtection="0"/>
    <xf numFmtId="0" fontId="52" fillId="0" borderId="41" applyNumberFormat="0" applyFill="0" applyAlignment="0" applyProtection="0"/>
    <xf numFmtId="0" fontId="52" fillId="0" borderId="41" applyNumberFormat="0" applyFill="0" applyAlignment="0" applyProtection="0"/>
    <xf numFmtId="184" fontId="80" fillId="80" borderId="9"/>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9"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104"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04"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9"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7" fillId="0" borderId="0"/>
    <xf numFmtId="0" fontId="20" fillId="0" borderId="0"/>
    <xf numFmtId="0" fontId="20" fillId="0" borderId="0"/>
    <xf numFmtId="0" fontId="104" fillId="0" borderId="0"/>
    <xf numFmtId="0" fontId="107" fillId="0" borderId="0"/>
    <xf numFmtId="0" fontId="107"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9" fillId="0" borderId="0"/>
    <xf numFmtId="0" fontId="104" fillId="0" borderId="0"/>
    <xf numFmtId="0" fontId="104" fillId="0" borderId="0"/>
    <xf numFmtId="0" fontId="104" fillId="0" borderId="0"/>
    <xf numFmtId="0" fontId="104"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20" fillId="0" borderId="0"/>
    <xf numFmtId="0" fontId="20" fillId="0" borderId="0"/>
    <xf numFmtId="0" fontId="20" fillId="0" borderId="0"/>
    <xf numFmtId="0" fontId="104" fillId="0" borderId="0"/>
    <xf numFmtId="180" fontId="20" fillId="0" borderId="0"/>
    <xf numFmtId="180" fontId="20" fillId="0" borderId="0"/>
    <xf numFmtId="180" fontId="20" fillId="0" borderId="0"/>
    <xf numFmtId="180" fontId="20" fillId="0" borderId="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04" fillId="0" borderId="0"/>
    <xf numFmtId="0" fontId="104" fillId="0" borderId="0"/>
    <xf numFmtId="180" fontId="20" fillId="0" borderId="0"/>
    <xf numFmtId="180" fontId="20" fillId="0" borderId="0"/>
    <xf numFmtId="180" fontId="20" fillId="0" borderId="0"/>
    <xf numFmtId="180" fontId="20" fillId="0" borderId="0"/>
    <xf numFmtId="0" fontId="20" fillId="0" borderId="0"/>
    <xf numFmtId="0" fontId="19" fillId="0" borderId="0"/>
    <xf numFmtId="0" fontId="19" fillId="0" borderId="0"/>
    <xf numFmtId="180" fontId="20" fillId="0" borderId="0"/>
    <xf numFmtId="180" fontId="20" fillId="0" borderId="0"/>
    <xf numFmtId="180" fontId="20" fillId="0" borderId="0"/>
    <xf numFmtId="18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19" fillId="0" borderId="0"/>
    <xf numFmtId="0" fontId="19" fillId="0" borderId="0"/>
    <xf numFmtId="0" fontId="19" fillId="0" borderId="0"/>
    <xf numFmtId="0" fontId="19"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0" fillId="0" borderId="0"/>
    <xf numFmtId="0" fontId="20" fillId="0" borderId="0"/>
    <xf numFmtId="0" fontId="104" fillId="0" borderId="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38" fillId="42" borderId="0" applyNumberFormat="0" applyBorder="0" applyAlignment="0" applyProtection="0"/>
    <xf numFmtId="0" fontId="108" fillId="11" borderId="0" applyNumberFormat="0" applyBorder="0" applyAlignment="0" applyProtection="0"/>
    <xf numFmtId="0" fontId="38" fillId="39" borderId="0" applyNumberFormat="0" applyBorder="0" applyAlignment="0" applyProtection="0"/>
    <xf numFmtId="0" fontId="108" fillId="15" borderId="0" applyNumberFormat="0" applyBorder="0" applyAlignment="0" applyProtection="0"/>
    <xf numFmtId="0" fontId="38" fillId="40" borderId="0" applyNumberFormat="0" applyBorder="0" applyAlignment="0" applyProtection="0"/>
    <xf numFmtId="0" fontId="108" fillId="19" borderId="0" applyNumberFormat="0" applyBorder="0" applyAlignment="0" applyProtection="0"/>
    <xf numFmtId="0" fontId="38" fillId="43" borderId="0" applyNumberFormat="0" applyBorder="0" applyAlignment="0" applyProtection="0"/>
    <xf numFmtId="0" fontId="108" fillId="23" borderId="0" applyNumberFormat="0" applyBorder="0" applyAlignment="0" applyProtection="0"/>
    <xf numFmtId="0" fontId="38" fillId="45" borderId="0" applyNumberFormat="0" applyBorder="0" applyAlignment="0" applyProtection="0"/>
    <xf numFmtId="0" fontId="108" fillId="27" borderId="0" applyNumberFormat="0" applyBorder="0" applyAlignment="0" applyProtection="0"/>
    <xf numFmtId="0" fontId="38" fillId="46" borderId="0" applyNumberFormat="0" applyBorder="0" applyAlignment="0" applyProtection="0"/>
    <xf numFmtId="0" fontId="108" fillId="31" borderId="0" applyNumberFormat="0" applyBorder="0" applyAlignment="0" applyProtection="0"/>
    <xf numFmtId="0" fontId="38" fillId="42"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108" fillId="8" borderId="0" applyNumberFormat="0" applyBorder="0" applyAlignment="0" applyProtection="0"/>
    <xf numFmtId="0" fontId="38" fillId="48" borderId="0" applyNumberFormat="0" applyBorder="0" applyAlignment="0" applyProtection="0"/>
    <xf numFmtId="0" fontId="108" fillId="12" borderId="0" applyNumberFormat="0" applyBorder="0" applyAlignment="0" applyProtection="0"/>
    <xf numFmtId="0" fontId="38" fillId="49" borderId="0" applyNumberFormat="0" applyBorder="0" applyAlignment="0" applyProtection="0"/>
    <xf numFmtId="0" fontId="108" fillId="16" borderId="0" applyNumberFormat="0" applyBorder="0" applyAlignment="0" applyProtection="0"/>
    <xf numFmtId="0" fontId="38" fillId="43" borderId="0" applyNumberFormat="0" applyBorder="0" applyAlignment="0" applyProtection="0"/>
    <xf numFmtId="0" fontId="108" fillId="20" borderId="0" applyNumberFormat="0" applyBorder="0" applyAlignment="0" applyProtection="0"/>
    <xf numFmtId="0" fontId="38" fillId="45" borderId="0" applyNumberFormat="0" applyBorder="0" applyAlignment="0" applyProtection="0"/>
    <xf numFmtId="0" fontId="108" fillId="24" borderId="0" applyNumberFormat="0" applyBorder="0" applyAlignment="0" applyProtection="0"/>
    <xf numFmtId="0" fontId="38" fillId="50" borderId="0" applyNumberFormat="0" applyBorder="0" applyAlignment="0" applyProtection="0"/>
    <xf numFmtId="0" fontId="108" fillId="28"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50" borderId="0" applyNumberFormat="0" applyBorder="0" applyAlignment="0" applyProtection="0"/>
    <xf numFmtId="0" fontId="39" fillId="33" borderId="0" applyNumberFormat="0" applyBorder="0" applyAlignment="0" applyProtection="0"/>
    <xf numFmtId="0" fontId="109" fillId="3" borderId="0" applyNumberFormat="0" applyBorder="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1" fillId="52" borderId="13" applyNumberFormat="0" applyAlignment="0" applyProtection="0"/>
    <xf numFmtId="0" fontId="110" fillId="6" borderId="4" applyNumberFormat="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06" fillId="0" borderId="0" applyFont="0" applyFill="0" applyBorder="0" applyAlignment="0" applyProtection="0"/>
    <xf numFmtId="43" fontId="104" fillId="0" borderId="0" applyFont="0" applyFill="0" applyBorder="0" applyAlignment="0" applyProtection="0"/>
    <xf numFmtId="43" fontId="18"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4" fillId="0" borderId="0" applyFont="0" applyFill="0" applyBorder="0" applyAlignment="0" applyProtection="0"/>
    <xf numFmtId="44" fontId="18" fillId="0" borderId="0" applyFon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43" fillId="34" borderId="0" applyNumberFormat="0" applyBorder="0" applyAlignment="0" applyProtection="0"/>
    <xf numFmtId="179" fontId="20" fillId="0" borderId="0" applyFont="0" applyFill="0" applyBorder="0" applyAlignment="0" applyProtection="0"/>
    <xf numFmtId="0" fontId="42" fillId="0" borderId="0" applyNumberFormat="0" applyFill="0" applyBorder="0" applyAlignment="0" applyProtection="0"/>
    <xf numFmtId="0" fontId="111" fillId="0" borderId="0" applyNumberFormat="0" applyFill="0" applyBorder="0" applyAlignment="0" applyProtection="0"/>
    <xf numFmtId="0" fontId="43" fillId="34" borderId="0" applyNumberFormat="0" applyBorder="0" applyAlignment="0" applyProtection="0"/>
    <xf numFmtId="0" fontId="112" fillId="2" borderId="0" applyNumberFormat="0" applyBorder="0" applyAlignment="0" applyProtection="0"/>
    <xf numFmtId="0" fontId="44" fillId="0" borderId="16" applyNumberFormat="0" applyFill="0" applyAlignment="0" applyProtection="0"/>
    <xf numFmtId="0" fontId="113" fillId="0" borderId="30" applyNumberFormat="0" applyFill="0" applyAlignment="0" applyProtection="0"/>
    <xf numFmtId="0" fontId="45" fillId="0" borderId="17" applyNumberFormat="0" applyFill="0" applyAlignment="0" applyProtection="0"/>
    <xf numFmtId="0" fontId="114" fillId="0" borderId="31"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115" fillId="0" borderId="1" applyNumberFormat="0" applyFill="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7" fillId="37" borderId="12" applyNumberFormat="0" applyAlignment="0" applyProtection="0"/>
    <xf numFmtId="0" fontId="48" fillId="0" borderId="21" applyNumberFormat="0" applyFill="0" applyAlignment="0" applyProtection="0"/>
    <xf numFmtId="0" fontId="41" fillId="52" borderId="13" applyNumberFormat="0" applyAlignment="0" applyProtection="0"/>
    <xf numFmtId="0" fontId="48" fillId="0" borderId="21" applyNumberFormat="0" applyFill="0" applyAlignment="0" applyProtection="0"/>
    <xf numFmtId="0" fontId="121" fillId="0" borderId="3" applyNumberFormat="0" applyFill="0" applyAlignment="0" applyProtection="0"/>
    <xf numFmtId="0" fontId="44" fillId="0" borderId="16" applyNumberFormat="0" applyFill="0" applyAlignment="0" applyProtection="0"/>
    <xf numFmtId="0" fontId="45" fillId="0" borderId="17" applyNumberFormat="0" applyFill="0" applyAlignment="0" applyProtection="0"/>
    <xf numFmtId="0" fontId="46" fillId="0" borderId="18"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49" fillId="44" borderId="0" applyNumberFormat="0" applyBorder="0" applyAlignment="0" applyProtection="0"/>
    <xf numFmtId="0" fontId="122" fillId="4" borderId="0" applyNumberFormat="0" applyBorder="0" applyAlignment="0" applyProtection="0"/>
    <xf numFmtId="0" fontId="49" fillId="44"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104"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0" fillId="0" borderId="0"/>
    <xf numFmtId="0" fontId="18" fillId="0" borderId="0"/>
    <xf numFmtId="0" fontId="20" fillId="0" borderId="0"/>
    <xf numFmtId="0" fontId="104"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6" fontId="20" fillId="0" borderId="0"/>
    <xf numFmtId="197" fontId="19" fillId="0" borderId="0"/>
    <xf numFmtId="197" fontId="19" fillId="0" borderId="0"/>
    <xf numFmtId="0" fontId="104" fillId="0" borderId="0"/>
    <xf numFmtId="0" fontId="104"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9" fillId="0" borderId="0"/>
    <xf numFmtId="197" fontId="19" fillId="0" borderId="0"/>
    <xf numFmtId="0" fontId="104" fillId="0" borderId="0"/>
    <xf numFmtId="0" fontId="1" fillId="0" borderId="0"/>
    <xf numFmtId="0" fontId="19" fillId="0" borderId="0"/>
    <xf numFmtId="196" fontId="19" fillId="0" borderId="0"/>
    <xf numFmtId="0" fontId="18"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0" fontId="123" fillId="0" borderId="0"/>
    <xf numFmtId="0" fontId="20" fillId="0" borderId="0"/>
    <xf numFmtId="0" fontId="1" fillId="0" borderId="0"/>
    <xf numFmtId="0" fontId="18" fillId="0" borderId="0"/>
    <xf numFmtId="0" fontId="20" fillId="0" borderId="0"/>
    <xf numFmtId="196" fontId="20" fillId="0" borderId="0"/>
    <xf numFmtId="0" fontId="1" fillId="0" borderId="0"/>
    <xf numFmtId="0" fontId="1" fillId="0" borderId="0"/>
    <xf numFmtId="0" fontId="1" fillId="0" borderId="0"/>
    <xf numFmtId="0" fontId="123" fillId="0" borderId="0"/>
    <xf numFmtId="196" fontId="20" fillId="0" borderId="0"/>
    <xf numFmtId="196" fontId="20" fillId="0" borderId="0"/>
    <xf numFmtId="196" fontId="20" fillId="0" borderId="0"/>
    <xf numFmtId="196" fontId="20" fillId="0" borderId="0"/>
    <xf numFmtId="0" fontId="19"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20" fillId="0" borderId="0"/>
    <xf numFmtId="197" fontId="20" fillId="0" borderId="0"/>
    <xf numFmtId="0" fontId="19" fillId="0" borderId="0"/>
    <xf numFmtId="0" fontId="104" fillId="0" borderId="0"/>
    <xf numFmtId="0" fontId="104" fillId="0" borderId="0"/>
    <xf numFmtId="0" fontId="104" fillId="0" borderId="0"/>
    <xf numFmtId="0" fontId="104" fillId="0" borderId="0"/>
    <xf numFmtId="0" fontId="104" fillId="0" borderId="0"/>
    <xf numFmtId="0" fontId="106"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30" fillId="0" borderId="0"/>
    <xf numFmtId="0" fontId="104" fillId="0" borderId="0"/>
    <xf numFmtId="196" fontId="20" fillId="0" borderId="0"/>
    <xf numFmtId="196" fontId="20" fillId="0" borderId="0"/>
    <xf numFmtId="0" fontId="104" fillId="0" borderId="0"/>
    <xf numFmtId="0" fontId="104" fillId="0" borderId="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6" fontId="19"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20" fillId="0" borderId="0"/>
    <xf numFmtId="0" fontId="20" fillId="0" borderId="0"/>
    <xf numFmtId="0" fontId="10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04" fillId="0" borderId="0" applyNumberFormat="0" applyFill="0" applyBorder="0" applyAlignment="0" applyProtection="0"/>
    <xf numFmtId="0" fontId="18" fillId="0" borderId="0"/>
    <xf numFmtId="0" fontId="18" fillId="0" borderId="0"/>
    <xf numFmtId="0" fontId="18" fillId="0" borderId="0"/>
    <xf numFmtId="0" fontId="18" fillId="0" borderId="0"/>
    <xf numFmtId="0" fontId="19"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04" fillId="0" borderId="0"/>
    <xf numFmtId="0" fontId="104" fillId="0" borderId="0"/>
    <xf numFmtId="0" fontId="18" fillId="0" borderId="0"/>
    <xf numFmtId="0" fontId="104" fillId="0" borderId="0"/>
    <xf numFmtId="0" fontId="104"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196"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04"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7"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2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30" fillId="56" borderId="22"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18" fillId="7" borderId="5" applyNumberFormat="0" applyFon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40" fillId="51" borderId="12"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50" fillId="51" borderId="23" applyNumberFormat="0" applyAlignment="0" applyProtection="0"/>
    <xf numFmtId="0" fontId="124" fillId="5" borderId="2" applyNumberFormat="0" applyAlignment="0" applyProtection="0"/>
    <xf numFmtId="9" fontId="104" fillId="0" borderId="0" applyFont="0" applyFill="0" applyBorder="0" applyAlignment="0" applyProtection="0"/>
    <xf numFmtId="9" fontId="104"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51" fillId="0" borderId="0" applyNumberFormat="0" applyFill="0" applyBorder="0" applyAlignment="0" applyProtection="0"/>
    <xf numFmtId="0" fontId="125" fillId="0" borderId="0" applyNumberFormat="0" applyFill="0" applyBorder="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52" fillId="0" borderId="28" applyNumberFormat="0" applyFill="0" applyAlignment="0" applyProtection="0"/>
    <xf numFmtId="0" fontId="126" fillId="0" borderId="6" applyNumberFormat="0" applyFill="0" applyAlignment="0" applyProtection="0"/>
    <xf numFmtId="0" fontId="51" fillId="0" borderId="0" applyNumberFormat="0" applyFill="0" applyBorder="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104" fillId="56" borderId="22" applyNumberFormat="0" applyFont="0" applyAlignment="0" applyProtection="0"/>
    <xf numFmtId="0" fontId="53" fillId="0" borderId="0" applyNumberFormat="0" applyFill="0" applyBorder="0" applyAlignment="0" applyProtection="0"/>
    <xf numFmtId="0" fontId="127" fillId="0" borderId="0" applyNumberFormat="0" applyFill="0" applyBorder="0" applyAlignment="0" applyProtection="0"/>
    <xf numFmtId="0" fontId="39" fillId="33" borderId="0" applyNumberFormat="0" applyBorder="0" applyAlignment="0" applyProtection="0"/>
    <xf numFmtId="43" fontId="1" fillId="0" borderId="0" applyFont="0" applyFill="0" applyBorder="0" applyAlignment="0" applyProtection="0"/>
    <xf numFmtId="0" fontId="1" fillId="0" borderId="0"/>
    <xf numFmtId="9" fontId="128" fillId="0" borderId="0">
      <alignment horizontal="right"/>
    </xf>
    <xf numFmtId="0" fontId="20" fillId="0" borderId="0"/>
    <xf numFmtId="0" fontId="93" fillId="0" borderId="0"/>
    <xf numFmtId="0" fontId="104" fillId="0" borderId="0"/>
    <xf numFmtId="0" fontId="20" fillId="0" borderId="0"/>
    <xf numFmtId="0" fontId="93" fillId="0" borderId="0"/>
    <xf numFmtId="0" fontId="20" fillId="0" borderId="0"/>
    <xf numFmtId="0" fontId="20" fillId="0" borderId="0"/>
    <xf numFmtId="0" fontId="104" fillId="0" borderId="0"/>
    <xf numFmtId="0" fontId="104" fillId="0" borderId="0"/>
    <xf numFmtId="0" fontId="20" fillId="0" borderId="0"/>
    <xf numFmtId="0" fontId="20" fillId="0" borderId="0"/>
    <xf numFmtId="0" fontId="10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4" fillId="0" borderId="0"/>
    <xf numFmtId="0" fontId="104" fillId="0" borderId="0"/>
    <xf numFmtId="0" fontId="20" fillId="0" borderId="0"/>
    <xf numFmtId="0" fontId="104" fillId="0" borderId="0"/>
    <xf numFmtId="0" fontId="20" fillId="0" borderId="0"/>
    <xf numFmtId="0" fontId="104" fillId="0" borderId="0"/>
    <xf numFmtId="0" fontId="104" fillId="0" borderId="0"/>
    <xf numFmtId="0" fontId="20" fillId="0" borderId="0"/>
    <xf numFmtId="0" fontId="20" fillId="0" borderId="0"/>
    <xf numFmtId="0" fontId="20" fillId="0" borderId="0"/>
    <xf numFmtId="0" fontId="20" fillId="0" borderId="0"/>
    <xf numFmtId="199" fontId="129" fillId="0" borderId="0">
      <alignment horizontal="right" vertical="top"/>
    </xf>
    <xf numFmtId="0" fontId="130" fillId="55"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3" borderId="0" applyNumberFormat="0" applyBorder="0" applyAlignment="0" applyProtection="0"/>
    <xf numFmtId="0" fontId="19" fillId="91" borderId="0" applyNumberFormat="0" applyBorder="0" applyAlignment="0" applyProtection="0"/>
    <xf numFmtId="0" fontId="19" fillId="83" borderId="0" applyNumberFormat="0" applyBorder="0" applyAlignment="0" applyProtection="0"/>
    <xf numFmtId="0" fontId="19" fillId="83"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130" fillId="5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7"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53" borderId="0" applyNumberFormat="0" applyBorder="0" applyAlignment="0" applyProtection="0"/>
    <xf numFmtId="0" fontId="19" fillId="53" borderId="0" applyNumberFormat="0" applyBorder="0" applyAlignment="0" applyProtection="0"/>
    <xf numFmtId="0" fontId="19" fillId="51" borderId="0" applyNumberFormat="0" applyBorder="0" applyAlignment="0" applyProtection="0"/>
    <xf numFmtId="0" fontId="19" fillId="53" borderId="0" applyNumberFormat="0" applyBorder="0" applyAlignment="0" applyProtection="0"/>
    <xf numFmtId="0" fontId="19" fillId="53" borderId="0" applyNumberFormat="0" applyBorder="0" applyAlignment="0" applyProtection="0"/>
    <xf numFmtId="0" fontId="130" fillId="74" borderId="0" applyNumberFormat="0" applyBorder="0" applyAlignment="0" applyProtection="0"/>
    <xf numFmtId="0" fontId="19" fillId="57" borderId="0" applyNumberFormat="0" applyBorder="0" applyAlignment="0" applyProtection="0"/>
    <xf numFmtId="0" fontId="19" fillId="81" borderId="0" applyNumberFormat="0" applyBorder="0" applyAlignment="0" applyProtection="0"/>
    <xf numFmtId="0" fontId="19" fillId="57" borderId="0" applyNumberFormat="0" applyBorder="0" applyAlignment="0" applyProtection="0"/>
    <xf numFmtId="0" fontId="19" fillId="57" borderId="0" applyNumberFormat="0" applyBorder="0" applyAlignment="0" applyProtection="0"/>
    <xf numFmtId="0" fontId="130" fillId="85" borderId="0" applyNumberFormat="0" applyBorder="0" applyAlignment="0" applyProtection="0"/>
    <xf numFmtId="0" fontId="19" fillId="82" borderId="0" applyNumberFormat="0" applyBorder="0" applyAlignment="0" applyProtection="0"/>
    <xf numFmtId="0" fontId="19" fillId="38" borderId="0" applyNumberFormat="0" applyBorder="0" applyAlignment="0" applyProtection="0"/>
    <xf numFmtId="0" fontId="19" fillId="82" borderId="0" applyNumberFormat="0" applyBorder="0" applyAlignment="0" applyProtection="0"/>
    <xf numFmtId="0" fontId="19" fillId="82" borderId="0" applyNumberFormat="0" applyBorder="0" applyAlignment="0" applyProtection="0"/>
    <xf numFmtId="0" fontId="130" fillId="60" borderId="0" applyNumberFormat="0" applyBorder="0" applyAlignment="0" applyProtection="0"/>
    <xf numFmtId="0" fontId="19" fillId="58" borderId="0" applyNumberFormat="0" applyBorder="0" applyAlignment="0" applyProtection="0"/>
    <xf numFmtId="0" fontId="19" fillId="37" borderId="0" applyNumberFormat="0" applyBorder="0" applyAlignment="0" applyProtection="0"/>
    <xf numFmtId="0" fontId="19" fillId="58" borderId="0" applyNumberFormat="0" applyBorder="0" applyAlignment="0" applyProtection="0"/>
    <xf numFmtId="0" fontId="19" fillId="58"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5"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94"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0" borderId="0" applyNumberFormat="0" applyBorder="0" applyAlignment="0" applyProtection="0"/>
    <xf numFmtId="0" fontId="38" fillId="67"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39"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95"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1" borderId="0" applyNumberFormat="0" applyBorder="0" applyAlignment="0" applyProtection="0"/>
    <xf numFmtId="0" fontId="38" fillId="53"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52" borderId="0" applyNumberFormat="0" applyBorder="0" applyAlignment="0" applyProtection="0"/>
    <xf numFmtId="0" fontId="38" fillId="59"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97" borderId="0" applyNumberFormat="0" applyBorder="0" applyAlignment="0" applyProtection="0"/>
    <xf numFmtId="0" fontId="38" fillId="85"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9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34" borderId="0" applyNumberFormat="0" applyBorder="0" applyAlignment="0" applyProtection="0"/>
    <xf numFmtId="0" fontId="38" fillId="80" borderId="0" applyNumberFormat="0" applyBorder="0" applyAlignment="0" applyProtection="0"/>
    <xf numFmtId="0" fontId="38" fillId="58" borderId="0" applyNumberFormat="0" applyBorder="0" applyAlignment="0" applyProtection="0"/>
    <xf numFmtId="0" fontId="38" fillId="58" borderId="0" applyNumberFormat="0" applyBorder="0" applyAlignment="0" applyProtection="0"/>
    <xf numFmtId="0" fontId="38" fillId="9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38" fillId="37" borderId="0" applyNumberFormat="0" applyBorder="0" applyAlignment="0" applyProtection="0"/>
    <xf numFmtId="0" fontId="38" fillId="58" borderId="0" applyNumberFormat="0" applyBorder="0" applyAlignment="0" applyProtection="0"/>
    <xf numFmtId="0" fontId="22" fillId="0" borderId="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8" borderId="0" applyNumberFormat="0" applyBorder="0" applyAlignment="0" applyProtection="0"/>
    <xf numFmtId="0" fontId="38" fillId="99" borderId="0" applyNumberFormat="0" applyBorder="0" applyAlignment="0" applyProtection="0"/>
    <xf numFmtId="0" fontId="38" fillId="93" borderId="0" applyNumberFormat="0" applyBorder="0" applyAlignment="0" applyProtection="0"/>
    <xf numFmtId="0" fontId="38" fillId="93" borderId="0" applyNumberFormat="0" applyBorder="0" applyAlignment="0" applyProtection="0"/>
    <xf numFmtId="0" fontId="38" fillId="45"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92" borderId="0" applyNumberFormat="0" applyBorder="0" applyAlignment="0" applyProtection="0"/>
    <xf numFmtId="0" fontId="38" fillId="93"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36" borderId="0" applyNumberFormat="0" applyBorder="0" applyAlignment="0" applyProtection="0"/>
    <xf numFmtId="0" fontId="38" fillId="101" borderId="0" applyNumberFormat="0" applyBorder="0" applyAlignment="0" applyProtection="0"/>
    <xf numFmtId="0" fontId="38" fillId="72" borderId="0" applyNumberFormat="0" applyBorder="0" applyAlignment="0" applyProtection="0"/>
    <xf numFmtId="0" fontId="38" fillId="72" borderId="0" applyNumberFormat="0" applyBorder="0" applyAlignment="0" applyProtection="0"/>
    <xf numFmtId="0" fontId="38" fillId="48"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100" borderId="0" applyNumberFormat="0" applyBorder="0" applyAlignment="0" applyProtection="0"/>
    <xf numFmtId="0" fontId="38" fillId="7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40" borderId="0" applyNumberFormat="0" applyBorder="0" applyAlignment="0" applyProtection="0"/>
    <xf numFmtId="0" fontId="38" fillId="70" borderId="0" applyNumberFormat="0" applyBorder="0" applyAlignment="0" applyProtection="0"/>
    <xf numFmtId="0" fontId="38" fillId="102" borderId="0" applyNumberFormat="0" applyBorder="0" applyAlignment="0" applyProtection="0"/>
    <xf numFmtId="0" fontId="38" fillId="102" borderId="0" applyNumberFormat="0" applyBorder="0" applyAlignment="0" applyProtection="0"/>
    <xf numFmtId="0" fontId="38" fillId="49"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43" borderId="0" applyNumberFormat="0" applyBorder="0" applyAlignment="0" applyProtection="0"/>
    <xf numFmtId="0" fontId="38" fillId="102"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42" borderId="0" applyNumberFormat="0" applyBorder="0" applyAlignment="0" applyProtection="0"/>
    <xf numFmtId="0" fontId="38" fillId="96" borderId="0" applyNumberFormat="0" applyBorder="0" applyAlignment="0" applyProtection="0"/>
    <xf numFmtId="0" fontId="38" fillId="7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103" borderId="0" applyNumberFormat="0" applyBorder="0" applyAlignment="0" applyProtection="0"/>
    <xf numFmtId="0" fontId="38" fillId="73"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77" borderId="0" applyNumberFormat="0" applyBorder="0" applyAlignment="0" applyProtection="0"/>
    <xf numFmtId="0" fontId="38" fillId="10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45" borderId="0" applyNumberFormat="0" applyBorder="0" applyAlignment="0" applyProtection="0"/>
    <xf numFmtId="0" fontId="38" fillId="84"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39" borderId="0" applyNumberFormat="0" applyBorder="0" applyAlignment="0" applyProtection="0"/>
    <xf numFmtId="0" fontId="38" fillId="63" borderId="0" applyNumberFormat="0" applyBorder="0" applyAlignment="0" applyProtection="0"/>
    <xf numFmtId="0" fontId="38" fillId="106" borderId="0" applyNumberFormat="0" applyBorder="0" applyAlignment="0" applyProtection="0"/>
    <xf numFmtId="0" fontId="38" fillId="106" borderId="0" applyNumberFormat="0" applyBorder="0" applyAlignment="0" applyProtection="0"/>
    <xf numFmtId="0" fontId="38" fillId="50"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38" fillId="105" borderId="0" applyNumberFormat="0" applyBorder="0" applyAlignment="0" applyProtection="0"/>
    <xf numFmtId="0" fontId="38" fillId="106" borderId="0" applyNumberFormat="0" applyBorder="0" applyAlignment="0" applyProtection="0"/>
    <xf numFmtId="0" fontId="22" fillId="0" borderId="0"/>
    <xf numFmtId="1" fontId="20" fillId="107" borderId="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2" borderId="0" applyNumberFormat="0" applyBorder="0" applyAlignment="0" applyProtection="0"/>
    <xf numFmtId="200" fontId="22" fillId="0" borderId="0"/>
    <xf numFmtId="201" fontId="22" fillId="0" borderId="0"/>
    <xf numFmtId="202" fontId="22" fillId="0" borderId="0"/>
    <xf numFmtId="200"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1"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2"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0" fontId="22" fillId="0" borderId="7"/>
    <xf numFmtId="203" fontId="22" fillId="0" borderId="0"/>
    <xf numFmtId="204" fontId="22" fillId="0" borderId="0"/>
    <xf numFmtId="205" fontId="22" fillId="0" borderId="0"/>
    <xf numFmtId="203"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4"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5"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3" fontId="22" fillId="0" borderId="7"/>
    <xf numFmtId="206" fontId="22" fillId="0" borderId="0">
      <alignment horizontal="right"/>
      <protection locked="0"/>
    </xf>
    <xf numFmtId="207" fontId="22" fillId="0" borderId="0">
      <alignment horizontal="right"/>
      <protection locked="0"/>
    </xf>
    <xf numFmtId="208" fontId="22" fillId="0" borderId="0"/>
    <xf numFmtId="209" fontId="22" fillId="0" borderId="0"/>
    <xf numFmtId="210" fontId="22" fillId="0" borderId="0"/>
    <xf numFmtId="208"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09"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10"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208" fontId="22" fillId="0" borderId="7"/>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3" borderId="12" applyNumberFormat="0" applyAlignment="0" applyProtection="0"/>
    <xf numFmtId="0" fontId="132" fillId="53"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132" fillId="5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4" borderId="12" applyNumberFormat="0" applyAlignment="0" applyProtection="0"/>
    <xf numFmtId="0" fontId="40" fillId="74"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40" fillId="78"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57" borderId="12" applyNumberFormat="0" applyAlignment="0" applyProtection="0"/>
    <xf numFmtId="0" fontId="131" fillId="57"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131" fillId="81" borderId="12"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11" fillId="6" borderId="4" applyNumberFormat="0" applyAlignment="0" applyProtection="0"/>
    <xf numFmtId="0" fontId="133" fillId="108" borderId="4" applyNumberFormat="0" applyAlignment="0" applyProtection="0"/>
    <xf numFmtId="0" fontId="41" fillId="59"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8" borderId="13" applyNumberFormat="0" applyAlignment="0" applyProtection="0"/>
    <xf numFmtId="0" fontId="41" fillId="74" borderId="13" applyNumberFormat="0" applyAlignment="0" applyProtection="0"/>
    <xf numFmtId="0" fontId="41" fillId="74"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2" borderId="13" applyNumberFormat="0" applyAlignment="0" applyProtection="0"/>
    <xf numFmtId="0" fontId="41" fillId="59" borderId="13" applyNumberFormat="0" applyAlignment="0" applyProtection="0"/>
    <xf numFmtId="0" fontId="41" fillId="59" borderId="13" applyNumberFormat="0" applyAlignment="0" applyProtection="0"/>
    <xf numFmtId="43" fontId="18" fillId="0" borderId="0" applyFont="0" applyFill="0" applyBorder="0" applyAlignment="0" applyProtection="0"/>
    <xf numFmtId="43" fontId="1" fillId="0" borderId="0" applyFont="0" applyFill="0" applyBorder="0" applyAlignment="0" applyProtection="0"/>
    <xf numFmtId="181" fontId="14" fillId="0" borderId="0" applyFont="0" applyFill="0" applyBorder="0" applyAlignment="0" applyProtection="0"/>
    <xf numFmtId="44" fontId="1" fillId="0" borderId="0" applyFont="0" applyFill="0" applyBorder="0" applyAlignment="0" applyProtection="0"/>
    <xf numFmtId="44" fontId="10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9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9" fontId="134" fillId="98" borderId="0">
      <alignment vertical="center"/>
    </xf>
    <xf numFmtId="49" fontId="134" fillId="99" borderId="0">
      <alignment vertical="center"/>
    </xf>
    <xf numFmtId="200"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1"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2"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22">
      <protection locked="0"/>
    </xf>
    <xf numFmtId="200" fontId="22" fillId="60" borderId="43">
      <protection locked="0"/>
    </xf>
    <xf numFmtId="203"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4"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5"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22">
      <protection locked="0"/>
    </xf>
    <xf numFmtId="203" fontId="22" fillId="60" borderId="43">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6"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207" fontId="22" fillId="60" borderId="22">
      <alignment horizontal="righ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0" fontId="22" fillId="60" borderId="22">
      <alignment horizontal="left"/>
      <protection locked="0"/>
    </xf>
    <xf numFmtId="49" fontId="22" fillId="80" borderId="43">
      <alignment horizontal="left" vertical="top" wrapText="1"/>
      <protection locked="0"/>
    </xf>
    <xf numFmtId="49" fontId="22" fillId="80" borderId="43">
      <alignment horizontal="left" vertical="top" wrapText="1"/>
      <protection locked="0"/>
    </xf>
    <xf numFmtId="49" fontId="22" fillId="80" borderId="43">
      <alignment horizontal="left" vertical="top" wrapText="1"/>
      <protection locked="0"/>
    </xf>
    <xf numFmtId="208"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09"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10"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22">
      <protection locked="0"/>
    </xf>
    <xf numFmtId="208" fontId="22" fillId="60" borderId="43">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49" fontId="22" fillId="60" borderId="22">
      <alignment horizontal="left"/>
      <protection locked="0"/>
    </xf>
    <xf numFmtId="211" fontId="22" fillId="60" borderId="43">
      <alignment horizontal="left" indent="1"/>
      <protection locked="0"/>
    </xf>
    <xf numFmtId="211" fontId="22" fillId="60" borderId="43">
      <alignment horizontal="left" indent="1"/>
      <protection locked="0"/>
    </xf>
    <xf numFmtId="211" fontId="22" fillId="60" borderId="43">
      <alignment horizontal="left" indent="1"/>
      <protection locked="0"/>
    </xf>
    <xf numFmtId="2" fontId="135" fillId="60" borderId="9">
      <protection locked="0"/>
    </xf>
    <xf numFmtId="16" fontId="30" fillId="0" borderId="0" applyFont="0" applyFill="0" applyBorder="0" applyAlignment="0" applyProtection="0"/>
    <xf numFmtId="15" fontId="30" fillId="0" borderId="0" applyFont="0" applyFill="0" applyBorder="0" applyAlignment="0" applyProtection="0"/>
    <xf numFmtId="17" fontId="30" fillId="0" borderId="0" applyFont="0" applyFill="0" applyBorder="0" applyAlignment="0" applyProtection="0"/>
    <xf numFmtId="212" fontId="15" fillId="78" borderId="0">
      <alignment horizontal="right"/>
    </xf>
    <xf numFmtId="15" fontId="136" fillId="109" borderId="0" applyNumberFormat="0" applyFont="0" applyBorder="0" applyAlignment="0" applyProtection="0"/>
    <xf numFmtId="199" fontId="137" fillId="74" borderId="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34" fillId="110" borderId="0">
      <alignment horizontal="right" vertical="center"/>
    </xf>
    <xf numFmtId="0" fontId="134" fillId="89" borderId="0">
      <alignment horizontal="right" vertical="center"/>
    </xf>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97" borderId="0" applyNumberFormat="0" applyBorder="0" applyAlignment="0" applyProtection="0"/>
    <xf numFmtId="0" fontId="43" fillId="85" borderId="0" applyNumberFormat="0" applyBorder="0" applyAlignment="0" applyProtection="0"/>
    <xf numFmtId="0" fontId="43" fillId="80" borderId="0" applyNumberFormat="0" applyBorder="0" applyAlignment="0" applyProtection="0"/>
    <xf numFmtId="0" fontId="43" fillId="80" borderId="0" applyNumberFormat="0" applyBorder="0" applyAlignment="0" applyProtection="0"/>
    <xf numFmtId="0" fontId="85" fillId="111"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43" fillId="34" borderId="0" applyNumberFormat="0" applyBorder="0" applyAlignment="0" applyProtection="0"/>
    <xf numFmtId="0" fontId="43" fillId="80" borderId="0" applyNumberFormat="0" applyBorder="0" applyAlignment="0" applyProtection="0"/>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3" borderId="0">
      <alignment vertical="center"/>
    </xf>
    <xf numFmtId="0" fontId="138" fillId="113" borderId="0">
      <alignment vertical="center"/>
    </xf>
    <xf numFmtId="0" fontId="138" fillId="113" borderId="0">
      <alignment vertical="center"/>
    </xf>
    <xf numFmtId="0" fontId="139" fillId="0" borderId="44" applyNumberFormat="0" applyFill="0" applyAlignment="0" applyProtection="0"/>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38" fillId="112" borderId="0">
      <alignment vertical="center"/>
    </xf>
    <xf numFmtId="0" fontId="138" fillId="113" borderId="0">
      <alignment vertical="center"/>
    </xf>
    <xf numFmtId="0" fontId="140" fillId="53" borderId="0">
      <alignment vertical="center"/>
    </xf>
    <xf numFmtId="0" fontId="140" fillId="53" borderId="0">
      <alignment vertical="center"/>
    </xf>
    <xf numFmtId="0" fontId="141" fillId="0" borderId="45" applyNumberFormat="0" applyFill="0" applyAlignment="0" applyProtection="0"/>
    <xf numFmtId="0" fontId="140" fillId="53" borderId="0">
      <alignment vertical="center"/>
    </xf>
    <xf numFmtId="0" fontId="140" fillId="53" borderId="0">
      <alignment vertical="center"/>
    </xf>
    <xf numFmtId="0" fontId="140" fillId="53" borderId="0">
      <alignment vertical="center"/>
    </xf>
    <xf numFmtId="0" fontId="140" fillId="53" borderId="0">
      <alignment vertical="center"/>
    </xf>
    <xf numFmtId="0" fontId="142" fillId="0" borderId="0"/>
    <xf numFmtId="0" fontId="142" fillId="0" borderId="0"/>
    <xf numFmtId="0" fontId="143" fillId="0" borderId="11" applyNumberFormat="0" applyFill="0" applyAlignment="0" applyProtection="0"/>
    <xf numFmtId="0" fontId="142" fillId="0" borderId="0"/>
    <xf numFmtId="0" fontId="142" fillId="0" borderId="0"/>
    <xf numFmtId="0" fontId="142" fillId="0" borderId="0"/>
    <xf numFmtId="0" fontId="142" fillId="0" borderId="0"/>
    <xf numFmtId="0" fontId="143"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213" fontId="15" fillId="0" borderId="42">
      <alignment horizontal="right" vertical="center"/>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3" fillId="0" borderId="0" applyNumberFormat="0" applyFill="0" applyBorder="0" applyAlignment="0" applyProtection="0"/>
    <xf numFmtId="1" fontId="20" fillId="60" borderId="0"/>
    <xf numFmtId="1" fontId="20" fillId="60" borderId="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80" borderId="12" applyNumberFormat="0" applyAlignment="0" applyProtection="0"/>
    <xf numFmtId="0" fontId="150" fillId="80"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150" fillId="34" borderId="12" applyNumberFormat="0" applyAlignment="0" applyProtection="0"/>
    <xf numFmtId="0" fontId="47" fillId="97" borderId="12" applyNumberFormat="0" applyAlignment="0" applyProtection="0"/>
    <xf numFmtId="1" fontId="20" fillId="60" borderId="0"/>
    <xf numFmtId="1" fontId="20" fillId="60" borderId="0"/>
    <xf numFmtId="1" fontId="20" fillId="60" borderId="0"/>
    <xf numFmtId="1" fontId="20" fillId="60" borderId="0"/>
    <xf numFmtId="0" fontId="151" fillId="0" borderId="0">
      <alignment horizontal="left" indent="1"/>
    </xf>
    <xf numFmtId="0" fontId="152" fillId="0" borderId="0"/>
    <xf numFmtId="0" fontId="153" fillId="0" borderId="0">
      <alignment horizontal="center"/>
    </xf>
    <xf numFmtId="0" fontId="25" fillId="0" borderId="20" applyProtection="0">
      <alignment horizontal="center"/>
      <protection locked="0"/>
    </xf>
    <xf numFmtId="0" fontId="154" fillId="0" borderId="46" applyNumberFormat="0" applyFill="0" applyAlignment="0" applyProtection="0"/>
    <xf numFmtId="0" fontId="154" fillId="0" borderId="46"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48" fillId="0" borderId="21"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54" fillId="0" borderId="46" applyNumberFormat="0" applyFill="0" applyAlignment="0" applyProtection="0"/>
    <xf numFmtId="0" fontId="134" fillId="114" borderId="0">
      <alignment horizontal="right" vertical="center"/>
    </xf>
    <xf numFmtId="0" fontId="134" fillId="90" borderId="0">
      <alignment horizontal="right" vertical="center"/>
    </xf>
    <xf numFmtId="49" fontId="155" fillId="98" borderId="0">
      <alignment horizontal="centerContinuous" vertical="center"/>
    </xf>
    <xf numFmtId="49" fontId="155" fillId="99" borderId="0">
      <alignment horizontal="centerContinuous" vertical="center"/>
    </xf>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53" fillId="44" borderId="0" applyNumberFormat="0" applyBorder="0" applyAlignment="0" applyProtection="0"/>
    <xf numFmtId="0" fontId="53" fillId="60"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49" fillId="44" borderId="0" applyNumberFormat="0" applyBorder="0" applyAlignment="0" applyProtection="0"/>
    <xf numFmtId="0" fontId="49" fillId="60" borderId="0" applyNumberFormat="0" applyBorder="0" applyAlignment="0" applyProtection="0"/>
    <xf numFmtId="0" fontId="12" fillId="0" borderId="0"/>
    <xf numFmtId="0" fontId="12" fillId="0" borderId="0"/>
    <xf numFmtId="0" fontId="12" fillId="0" borderId="0"/>
    <xf numFmtId="0" fontId="12" fillId="0" borderId="0"/>
    <xf numFmtId="0" fontId="1" fillId="0" borderId="0"/>
    <xf numFmtId="0" fontId="1" fillId="0" borderId="0"/>
    <xf numFmtId="0" fontId="12" fillId="0" borderId="0"/>
    <xf numFmtId="0" fontId="20" fillId="0" borderId="0" applyNumberFormat="0" applyFont="0" applyFill="0" applyBorder="0" applyAlignment="0" applyProtection="0"/>
    <xf numFmtId="0" fontId="1" fillId="0" borderId="0"/>
    <xf numFmtId="0" fontId="18" fillId="0" borderId="0"/>
    <xf numFmtId="0" fontId="18" fillId="0" borderId="0"/>
    <xf numFmtId="0" fontId="20" fillId="0" borderId="0" applyNumberFormat="0" applyFont="0" applyFill="0" applyBorder="0" applyAlignment="0" applyProtection="0"/>
    <xf numFmtId="0" fontId="105" fillId="0" borderId="0"/>
    <xf numFmtId="214" fontId="30" fillId="0" borderId="0" applyFont="0" applyFill="0" applyBorder="0" applyAlignment="0" applyProtection="0"/>
    <xf numFmtId="215" fontId="30" fillId="0" borderId="0" applyFont="0" applyFill="0" applyBorder="0" applyAlignment="0" applyProtection="0"/>
    <xf numFmtId="216" fontId="30" fillId="0" borderId="0" applyFont="0" applyFill="0" applyBorder="0" applyAlignment="0" applyProtection="0"/>
    <xf numFmtId="217" fontId="30" fillId="0" borderId="0" applyFont="0" applyFill="0" applyBorder="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60" borderId="12" applyNumberFormat="0" applyFont="0" applyAlignment="0" applyProtection="0"/>
    <xf numFmtId="0" fontId="22" fillId="60"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2" fillId="44" borderId="12"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60" borderId="36" applyNumberFormat="0" applyFont="0" applyAlignment="0" applyProtection="0"/>
    <xf numFmtId="0" fontId="20" fillId="60"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20" fillId="44" borderId="36" applyNumberFormat="0" applyFont="0" applyAlignment="0" applyProtection="0"/>
    <xf numFmtId="0" fontId="156" fillId="78" borderId="0">
      <alignment horizontal="left" vertical="top" wrapText="1"/>
    </xf>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4" borderId="23" applyNumberFormat="0" applyAlignment="0" applyProtection="0"/>
    <xf numFmtId="0" fontId="50" fillId="74"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78"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57" borderId="23" applyNumberFormat="0" applyAlignment="0" applyProtection="0"/>
    <xf numFmtId="0" fontId="50" fillId="57"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0" fontId="50" fillId="81" borderId="23" applyNumberFormat="0" applyAlignment="0" applyProtection="0"/>
    <xf numFmtId="9" fontId="1" fillId="0" borderId="0" applyFont="0" applyFill="0" applyBorder="0" applyAlignment="0" applyProtection="0"/>
    <xf numFmtId="9" fontId="30" fillId="0" borderId="0" applyFont="0" applyFill="0" applyBorder="0" applyAlignment="0" applyProtection="0"/>
    <xf numFmtId="200" fontId="157" fillId="0" borderId="0">
      <alignment horizontal="right"/>
    </xf>
    <xf numFmtId="199" fontId="158" fillId="74" borderId="0">
      <alignment horizontal="right"/>
    </xf>
    <xf numFmtId="0" fontId="134" fillId="98" borderId="0">
      <alignment horizontal="right" vertical="center"/>
    </xf>
    <xf numFmtId="0" fontId="134" fillId="99" borderId="0">
      <alignment horizontal="right" vertical="center"/>
    </xf>
    <xf numFmtId="0" fontId="159" fillId="0" borderId="47" applyFill="0" applyProtection="0">
      <alignment horizontal="right" wrapText="1"/>
    </xf>
    <xf numFmtId="0" fontId="159" fillId="0" borderId="0" applyFill="0" applyProtection="0">
      <alignment wrapText="1"/>
    </xf>
    <xf numFmtId="0" fontId="31" fillId="57" borderId="8">
      <alignment horizontal="center"/>
    </xf>
    <xf numFmtId="0" fontId="31" fillId="57" borderId="8">
      <alignment horizontal="center"/>
    </xf>
    <xf numFmtId="0" fontId="31" fillId="57" borderId="8">
      <alignment horizontal="center"/>
    </xf>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0" fontId="129" fillId="53" borderId="9"/>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5"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6"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177" fontId="34" fillId="75" borderId="26">
      <alignment wrapText="1"/>
    </xf>
    <xf numFmtId="0" fontId="1" fillId="0" borderId="0"/>
    <xf numFmtId="177" fontId="34" fillId="75" borderId="26">
      <alignment wrapText="1"/>
    </xf>
    <xf numFmtId="177" fontId="34" fillId="75" borderId="26">
      <alignment wrapText="1"/>
    </xf>
    <xf numFmtId="177" fontId="34" fillId="75" borderId="26">
      <alignment wrapText="1"/>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1" fillId="0" borderId="0"/>
    <xf numFmtId="0" fontId="35" fillId="0" borderId="27">
      <alignment horizontal="right"/>
    </xf>
    <xf numFmtId="0" fontId="1" fillId="0" borderId="0"/>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0" fontId="35" fillId="0" borderId="27">
      <alignment horizontal="right"/>
    </xf>
    <xf numFmtId="198" fontId="20" fillId="0" borderId="0" applyAlignment="0">
      <alignment horizontal="left"/>
    </xf>
    <xf numFmtId="0" fontId="1" fillId="0" borderId="0"/>
    <xf numFmtId="49" fontId="30" fillId="0" borderId="0" applyFont="0" applyFill="0" applyBorder="0" applyAlignment="0" applyProtection="0"/>
    <xf numFmtId="0" fontId="1" fillId="0" borderId="0"/>
    <xf numFmtId="0" fontId="34" fillId="78" borderId="0"/>
    <xf numFmtId="0" fontId="34" fillId="74" borderId="0"/>
    <xf numFmtId="0" fontId="1" fillId="0" borderId="0"/>
    <xf numFmtId="0" fontId="15" fillId="78" borderId="0">
      <alignment horizontal="left"/>
    </xf>
    <xf numFmtId="0" fontId="15" fillId="74" borderId="0">
      <alignment horizontal="left"/>
    </xf>
    <xf numFmtId="0" fontId="1" fillId="0" borderId="0"/>
    <xf numFmtId="0" fontId="15" fillId="78" borderId="0">
      <alignment horizontal="left" indent="1"/>
    </xf>
    <xf numFmtId="0" fontId="15" fillId="74" borderId="0">
      <alignment horizontal="left" indent="1"/>
    </xf>
    <xf numFmtId="0" fontId="1" fillId="0" borderId="0"/>
    <xf numFmtId="0" fontId="15" fillId="78" borderId="0">
      <alignment horizontal="left" vertical="center" indent="2"/>
    </xf>
    <xf numFmtId="0" fontId="15" fillId="74" borderId="0">
      <alignment horizontal="left" vertical="center" indent="2"/>
    </xf>
    <xf numFmtId="0" fontId="1" fillId="0" borderId="0"/>
    <xf numFmtId="49" fontId="160" fillId="0" borderId="0" applyFill="0" applyBorder="0" applyProtection="0">
      <alignment horizontal="center" vertical="top"/>
    </xf>
    <xf numFmtId="0" fontId="1" fillId="0" borderId="0"/>
    <xf numFmtId="0" fontId="29" fillId="0" borderId="0">
      <alignment horizontal="center"/>
    </xf>
    <xf numFmtId="0" fontId="1" fillId="0" borderId="0"/>
    <xf numFmtId="15" fontId="29" fillId="0" borderId="0">
      <alignment horizontal="center"/>
    </xf>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0" fontId="161" fillId="0" borderId="0" applyNumberFormat="0" applyFill="0" applyBorder="0" applyAlignment="0" applyProtection="0"/>
    <xf numFmtId="0" fontId="162" fillId="0" borderId="0" applyNumberFormat="0" applyFill="0" applyBorder="0" applyAlignment="0" applyProtection="0"/>
    <xf numFmtId="0" fontId="1" fillId="0" borderId="0"/>
    <xf numFmtId="49" fontId="70" fillId="74" borderId="0"/>
    <xf numFmtId="0" fontId="1" fillId="0" borderId="0"/>
    <xf numFmtId="49" fontId="70" fillId="74" borderId="0"/>
    <xf numFmtId="0" fontId="1" fillId="0" borderId="0"/>
    <xf numFmtId="0" fontId="163" fillId="0" borderId="0" applyNumberFormat="0" applyFill="0" applyBorder="0" applyAlignment="0" applyProtection="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49" fontId="70" fillId="78" borderId="0"/>
    <xf numFmtId="49" fontId="70" fillId="74" borderId="0"/>
    <xf numFmtId="0" fontId="1" fillId="0" borderId="0"/>
    <xf numFmtId="0" fontId="138" fillId="107" borderId="48"/>
    <xf numFmtId="0" fontId="1" fillId="0" borderId="0"/>
    <xf numFmtId="0" fontId="88" fillId="107" borderId="49">
      <alignment horizontal="left"/>
    </xf>
    <xf numFmtId="0" fontId="1" fillId="0" borderId="0"/>
    <xf numFmtId="22" fontId="22" fillId="53" borderId="49">
      <alignment vertical="center"/>
    </xf>
    <xf numFmtId="0" fontId="1" fillId="0" borderId="0"/>
    <xf numFmtId="0" fontId="22" fillId="53" borderId="49">
      <alignment horizontal="left" vertical="top" wrapText="1"/>
    </xf>
    <xf numFmtId="0" fontId="1" fillId="0" borderId="0"/>
    <xf numFmtId="0" fontId="22" fillId="53" borderId="50"/>
    <xf numFmtId="0" fontId="1" fillId="0" borderId="0"/>
    <xf numFmtId="0" fontId="22" fillId="53" borderId="5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1" fillId="0" borderId="0"/>
    <xf numFmtId="0" fontId="50" fillId="0" borderId="52" applyNumberFormat="0" applyFill="0" applyAlignment="0" applyProtection="0"/>
    <xf numFmtId="0" fontId="50" fillId="0" borderId="52" applyNumberFormat="0" applyFill="0" applyAlignment="0" applyProtection="0"/>
    <xf numFmtId="0" fontId="50" fillId="0" borderId="52"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4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1" fillId="0" borderId="0"/>
    <xf numFmtId="0" fontId="52" fillId="0" borderId="51" applyNumberFormat="0" applyFill="0" applyAlignment="0" applyProtection="0"/>
    <xf numFmtId="0" fontId="52" fillId="0" borderId="51" applyNumberFormat="0" applyFill="0" applyAlignment="0" applyProtection="0"/>
    <xf numFmtId="0" fontId="52" fillId="0" borderId="51" applyNumberFormat="0" applyFill="0" applyAlignment="0" applyProtection="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53" fillId="0" borderId="0" applyNumberFormat="0" applyFill="0" applyBorder="0" applyAlignment="0" applyProtection="0"/>
    <xf numFmtId="0" fontId="1" fillId="0" borderId="0"/>
    <xf numFmtId="0" fontId="1" fillId="0" borderId="0"/>
    <xf numFmtId="49" fontId="160" fillId="40" borderId="0" applyNumberFormat="0" applyFont="0" applyBorder="0" applyAlignment="0" applyProtection="0">
      <alignment horizontal="center"/>
    </xf>
    <xf numFmtId="49" fontId="160" fillId="70" borderId="0" applyNumberFormat="0" applyFont="0" applyBorder="0" applyAlignment="0" applyProtection="0">
      <alignment horizontal="center"/>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0" fontId="1" fillId="0" borderId="0"/>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10" fontId="20" fillId="70" borderId="9" applyNumberFormat="0" applyFont="0" applyBorder="0" applyAlignment="0" applyProtection="0">
      <protection locked="0"/>
    </xf>
    <xf numFmtId="218" fontId="136" fillId="0" borderId="0" applyFont="0" applyFill="0" applyBorder="0" applyAlignment="0" applyProtection="0"/>
    <xf numFmtId="0" fontId="1" fillId="0" borderId="0"/>
    <xf numFmtId="0" fontId="20" fillId="80" borderId="9">
      <protection locked="0"/>
    </xf>
    <xf numFmtId="195" fontId="20" fillId="0" borderId="33">
      <protection locked="0"/>
    </xf>
    <xf numFmtId="184" fontId="80" fillId="80" borderId="9"/>
    <xf numFmtId="183" fontId="20" fillId="80" borderId="9"/>
    <xf numFmtId="183" fontId="20" fillId="80" borderId="9"/>
    <xf numFmtId="183" fontId="20" fillId="80" borderId="9"/>
    <xf numFmtId="183" fontId="20" fillId="80" borderId="9"/>
    <xf numFmtId="183" fontId="20" fillId="80" borderId="9"/>
    <xf numFmtId="184" fontId="80" fillId="80" borderId="9"/>
    <xf numFmtId="184" fontId="80" fillId="80" borderId="9"/>
    <xf numFmtId="184" fontId="80" fillId="80" borderId="9"/>
    <xf numFmtId="184" fontId="80" fillId="80" borderId="9"/>
    <xf numFmtId="184" fontId="80" fillId="80" borderId="9"/>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5" fontId="20" fillId="0" borderId="9">
      <alignment horizontal="center"/>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6" fontId="20" fillId="60" borderId="9">
      <alignment horizontal="center"/>
      <protection locked="0"/>
    </xf>
    <xf numFmtId="184" fontId="80" fillId="80" borderId="9"/>
    <xf numFmtId="184" fontId="80" fillId="80" borderId="9"/>
    <xf numFmtId="184" fontId="80" fillId="80" borderId="9"/>
    <xf numFmtId="184" fontId="80" fillId="80" borderId="9"/>
    <xf numFmtId="184" fontId="80" fillId="80" borderId="9"/>
    <xf numFmtId="183" fontId="82" fillId="60" borderId="9"/>
    <xf numFmtId="184" fontId="80" fillId="80" borderId="9"/>
    <xf numFmtId="195" fontId="20" fillId="0" borderId="33">
      <protection locked="0"/>
    </xf>
    <xf numFmtId="187" fontId="80" fillId="70" borderId="9" applyNumberFormat="0" applyFont="0" applyBorder="0" applyAlignment="0"/>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0" fontId="20" fillId="80" borderId="9">
      <protection locked="0"/>
    </xf>
    <xf numFmtId="187" fontId="80" fillId="61" borderId="9" applyNumberFormat="0" applyFont="0" applyBorder="0" applyAlignment="0">
      <protection locked="0"/>
    </xf>
    <xf numFmtId="187" fontId="80" fillId="63" borderId="9" applyNumberFormat="0" applyFont="0" applyBorder="0" applyAlignment="0"/>
    <xf numFmtId="184" fontId="83" fillId="58" borderId="9"/>
    <xf numFmtId="0" fontId="93" fillId="42" borderId="36" applyNumberFormat="0" applyFont="0" applyAlignment="0" applyProtection="0"/>
    <xf numFmtId="0" fontId="93" fillId="42" borderId="36" applyNumberFormat="0" applyFont="0" applyAlignment="0" applyProtection="0"/>
    <xf numFmtId="0" fontId="20" fillId="83" borderId="9">
      <protection locked="0"/>
    </xf>
    <xf numFmtId="0" fontId="20" fillId="83" borderId="9">
      <protection locked="0"/>
    </xf>
    <xf numFmtId="0" fontId="20" fillId="83" borderId="9">
      <protection locked="0"/>
    </xf>
    <xf numFmtId="0" fontId="20" fillId="83" borderId="9">
      <protection locked="0"/>
    </xf>
    <xf numFmtId="0" fontId="20" fillId="83" borderId="9">
      <protection locked="0"/>
    </xf>
    <xf numFmtId="0" fontId="50" fillId="81" borderId="23" applyNumberFormat="0" applyAlignment="0" applyProtection="0"/>
    <xf numFmtId="0" fontId="50" fillId="81" borderId="23" applyNumberFormat="0" applyAlignment="0" applyProtection="0"/>
    <xf numFmtId="0" fontId="59" fillId="53" borderId="9">
      <alignment horizontal="center" vertical="center" wrapText="1"/>
    </xf>
    <xf numFmtId="0" fontId="52" fillId="0" borderId="41" applyNumberFormat="0" applyFill="0" applyAlignment="0" applyProtection="0"/>
    <xf numFmtId="0" fontId="52" fillId="0" borderId="41" applyNumberFormat="0" applyFill="0" applyAlignment="0" applyProtection="0"/>
    <xf numFmtId="0" fontId="1" fillId="0" borderId="0"/>
    <xf numFmtId="0" fontId="1" fillId="0" borderId="0"/>
    <xf numFmtId="0" fontId="18" fillId="0" borderId="0"/>
    <xf numFmtId="0" fontId="93" fillId="42" borderId="36" applyNumberFormat="0" applyFont="0" applyAlignment="0" applyProtection="0"/>
    <xf numFmtId="0" fontId="93" fillId="42" borderId="36" applyNumberFormat="0" applyFont="0" applyAlignment="0" applyProtection="0"/>
    <xf numFmtId="0" fontId="50" fillId="81" borderId="23" applyNumberFormat="0" applyAlignment="0" applyProtection="0"/>
    <xf numFmtId="0" fontId="50" fillId="81" borderId="23" applyNumberFormat="0" applyAlignment="0" applyProtection="0"/>
    <xf numFmtId="0" fontId="52" fillId="0" borderId="41" applyNumberFormat="0" applyFill="0" applyAlignment="0" applyProtection="0"/>
    <xf numFmtId="0" fontId="52" fillId="0" borderId="41" applyNumberFormat="0" applyFill="0" applyAlignment="0" applyProtection="0"/>
    <xf numFmtId="0" fontId="20" fillId="80" borderId="9">
      <protection locked="0"/>
    </xf>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184" fontId="80" fillId="80" borderId="9"/>
    <xf numFmtId="184" fontId="80" fillId="80" borderId="9"/>
    <xf numFmtId="184" fontId="80" fillId="80" borderId="9"/>
    <xf numFmtId="184" fontId="80" fillId="80" borderId="9"/>
    <xf numFmtId="184" fontId="80" fillId="80" borderId="9"/>
    <xf numFmtId="184" fontId="80" fillId="80" borderId="9"/>
    <xf numFmtId="41" fontId="8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80" borderId="9">
      <protection locked="0"/>
    </xf>
    <xf numFmtId="0" fontId="20" fillId="80" borderId="9">
      <protection locked="0"/>
    </xf>
    <xf numFmtId="184" fontId="80" fillId="80" borderId="9"/>
    <xf numFmtId="184" fontId="80" fillId="80" borderId="9"/>
    <xf numFmtId="184" fontId="80" fillId="80" borderId="9"/>
    <xf numFmtId="184" fontId="80" fillId="80" borderId="9"/>
    <xf numFmtId="184" fontId="80" fillId="80" borderId="9"/>
    <xf numFmtId="184" fontId="80" fillId="80" borderId="9"/>
    <xf numFmtId="41"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8" fillId="0" borderId="0"/>
    <xf numFmtId="0" fontId="1" fillId="0" borderId="0"/>
    <xf numFmtId="0" fontId="1" fillId="0" borderId="0"/>
    <xf numFmtId="0" fontId="18" fillId="0" borderId="0"/>
    <xf numFmtId="184" fontId="80" fillId="80" borderId="9"/>
    <xf numFmtId="184" fontId="80" fillId="80" borderId="9"/>
    <xf numFmtId="184" fontId="80" fillId="80" borderId="9"/>
    <xf numFmtId="184" fontId="80" fillId="80" borderId="9"/>
    <xf numFmtId="184" fontId="80" fillId="80" borderId="9"/>
    <xf numFmtId="184" fontId="80" fillId="80" borderId="9"/>
    <xf numFmtId="43" fontId="20" fillId="0" borderId="0" applyFont="0" applyFill="0" applyBorder="0" applyAlignment="0" applyProtection="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43" fontId="20" fillId="0" borderId="0" applyFont="0" applyFill="0" applyBorder="0" applyAlignment="0" applyProtection="0"/>
    <xf numFmtId="0" fontId="18" fillId="0" borderId="0"/>
    <xf numFmtId="0" fontId="18" fillId="0" borderId="0"/>
    <xf numFmtId="0" fontId="18"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8" fillId="0" borderId="0"/>
    <xf numFmtId="0" fontId="18" fillId="0" borderId="0"/>
    <xf numFmtId="0" fontId="20" fillId="0" borderId="0"/>
    <xf numFmtId="0" fontId="18" fillId="0" borderId="0"/>
    <xf numFmtId="43" fontId="20" fillId="0" borderId="0" applyFont="0" applyFill="0" applyBorder="0" applyAlignment="0" applyProtection="0"/>
    <xf numFmtId="0" fontId="18" fillId="0" borderId="0"/>
    <xf numFmtId="43" fontId="20" fillId="0" borderId="0" applyFont="0" applyFill="0" applyBorder="0" applyAlignment="0" applyProtection="0"/>
    <xf numFmtId="0" fontId="18" fillId="0" borderId="0"/>
    <xf numFmtId="9" fontId="1" fillId="0" borderId="0" applyFont="0" applyFill="0" applyBorder="0" applyAlignment="0" applyProtection="0"/>
    <xf numFmtId="0" fontId="18" fillId="0" borderId="0"/>
    <xf numFmtId="0" fontId="18" fillId="0" borderId="0"/>
    <xf numFmtId="0" fontId="18" fillId="0" borderId="0"/>
    <xf numFmtId="0" fontId="20" fillId="0" borderId="0"/>
    <xf numFmtId="0" fontId="18" fillId="0" borderId="0"/>
    <xf numFmtId="9" fontId="18" fillId="0" borderId="0" applyFont="0" applyFill="0" applyBorder="0" applyAlignment="0" applyProtection="0"/>
    <xf numFmtId="9" fontId="2" fillId="0" borderId="0" applyFont="0" applyFill="0" applyBorder="0" applyAlignment="0" applyProtection="0"/>
  </cellStyleXfs>
  <cellXfs count="93">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7" fillId="0" borderId="0" xfId="4" applyFill="1" applyAlignment="1">
      <alignment wrapText="1"/>
    </xf>
    <xf numFmtId="0" fontId="0" fillId="0" borderId="0" xfId="0" applyAlignment="1">
      <alignment horizontal="center"/>
    </xf>
    <xf numFmtId="0" fontId="164"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0" fontId="4" fillId="0" borderId="0" xfId="0" applyFont="1" applyAlignment="1">
      <alignment vertical="top" wrapText="1"/>
    </xf>
    <xf numFmtId="197" fontId="0" fillId="0" borderId="0" xfId="0" applyNumberFormat="1"/>
    <xf numFmtId="165" fontId="166" fillId="0" borderId="0" xfId="0" applyNumberFormat="1" applyFont="1" applyAlignment="1">
      <alignment horizontal="right" wrapText="1"/>
    </xf>
    <xf numFmtId="165" fontId="167" fillId="0" borderId="0" xfId="0" applyNumberFormat="1" applyFont="1" applyAlignment="1">
      <alignment horizontal="right"/>
    </xf>
    <xf numFmtId="165" fontId="9" fillId="0" borderId="0" xfId="0" applyNumberFormat="1" applyFont="1" applyAlignment="1">
      <alignment horizontal="right" vertical="top" wrapText="1" readingOrder="1"/>
    </xf>
    <xf numFmtId="0" fontId="169" fillId="0" borderId="0" xfId="4" applyFont="1" applyAlignment="1">
      <alignment vertical="top" wrapText="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xf>
    <xf numFmtId="0" fontId="6" fillId="0" borderId="0" xfId="0" applyFont="1" applyAlignment="1">
      <alignment horizontal="left" vertical="center"/>
    </xf>
    <xf numFmtId="0" fontId="3" fillId="0" borderId="0" xfId="1" applyFill="1" applyAlignment="1">
      <alignment horizontal="left" readingOrder="1"/>
    </xf>
    <xf numFmtId="0" fontId="6" fillId="0" borderId="0" xfId="0" applyFont="1" applyAlignment="1">
      <alignment vertical="top" readingOrder="1"/>
    </xf>
    <xf numFmtId="0" fontId="10" fillId="0" borderId="0" xfId="0" applyFont="1" applyAlignment="1">
      <alignment readingOrder="1"/>
    </xf>
    <xf numFmtId="0" fontId="7" fillId="0" borderId="0" xfId="4"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165" fontId="9" fillId="0" borderId="53" xfId="0" applyNumberFormat="1" applyFont="1" applyBorder="1" applyAlignment="1">
      <alignment horizontal="right" vertical="top" wrapText="1" readingOrder="1"/>
    </xf>
    <xf numFmtId="0" fontId="6" fillId="0" borderId="0" xfId="0" applyFont="1" applyAlignment="1">
      <alignment horizontal="left" wrapText="1"/>
    </xf>
    <xf numFmtId="0" fontId="7" fillId="0" borderId="0" xfId="4"/>
    <xf numFmtId="165" fontId="166" fillId="0" borderId="53" xfId="0" applyNumberFormat="1" applyFont="1" applyBorder="1" applyAlignment="1">
      <alignment horizontal="right" wrapText="1"/>
    </xf>
    <xf numFmtId="0" fontId="173" fillId="115" borderId="0" xfId="0" applyFont="1" applyFill="1"/>
    <xf numFmtId="0" fontId="0" fillId="0" borderId="0" xfId="0" applyAlignment="1">
      <alignment horizontal="left"/>
    </xf>
    <xf numFmtId="0" fontId="0" fillId="115" borderId="0" xfId="0" applyFill="1"/>
    <xf numFmtId="219" fontId="0" fillId="0" borderId="0" xfId="0" applyNumberFormat="1"/>
    <xf numFmtId="0" fontId="0" fillId="0" borderId="56" xfId="0" applyBorder="1"/>
    <xf numFmtId="2" fontId="0" fillId="0" borderId="57" xfId="0" applyNumberFormat="1" applyBorder="1"/>
    <xf numFmtId="0" fontId="0" fillId="0" borderId="57" xfId="0" applyBorder="1"/>
    <xf numFmtId="0" fontId="174" fillId="115" borderId="58" xfId="0" applyFont="1" applyFill="1" applyBorder="1"/>
    <xf numFmtId="2" fontId="0" fillId="0" borderId="0" xfId="0" applyNumberFormat="1"/>
    <xf numFmtId="2" fontId="0" fillId="0" borderId="0" xfId="55011" applyNumberFormat="1" applyFont="1"/>
    <xf numFmtId="9" fontId="0" fillId="0" borderId="0" xfId="55011" applyFont="1"/>
    <xf numFmtId="0" fontId="0" fillId="0" borderId="0" xfId="0" pivotButton="1"/>
    <xf numFmtId="0" fontId="175" fillId="0" borderId="0" xfId="0" applyFont="1" applyAlignment="1">
      <alignment horizontal="center" vertical="top"/>
    </xf>
    <xf numFmtId="165" fontId="0" fillId="0" borderId="0" xfId="0" applyNumberFormat="1"/>
    <xf numFmtId="0" fontId="0" fillId="0" borderId="0" xfId="0" applyAlignment="1">
      <alignment horizontal="center" vertical="center"/>
    </xf>
    <xf numFmtId="0" fontId="176" fillId="116" borderId="59" xfId="0" applyFont="1" applyFill="1" applyBorder="1" applyAlignment="1">
      <alignment horizontal="center" vertical="center"/>
    </xf>
    <xf numFmtId="165" fontId="176" fillId="116" borderId="60" xfId="0" applyNumberFormat="1" applyFont="1" applyFill="1" applyBorder="1" applyAlignment="1">
      <alignment horizontal="center" vertical="center" wrapText="1" readingOrder="1"/>
    </xf>
    <xf numFmtId="165" fontId="176" fillId="116" borderId="61" xfId="0" applyNumberFormat="1" applyFont="1" applyFill="1" applyBorder="1" applyAlignment="1">
      <alignment horizontal="center" vertical="center" wrapText="1" readingOrder="1"/>
    </xf>
    <xf numFmtId="165" fontId="176" fillId="116" borderId="62" xfId="0" applyNumberFormat="1" applyFont="1" applyFill="1" applyBorder="1" applyAlignment="1">
      <alignment horizontal="center" vertical="center" wrapText="1" readingOrder="1"/>
    </xf>
    <xf numFmtId="197" fontId="166" fillId="0" borderId="0" xfId="55011" applyNumberFormat="1" applyFont="1" applyFill="1" applyBorder="1" applyAlignment="1">
      <alignment horizontal="center" vertical="center" wrapText="1"/>
    </xf>
    <xf numFmtId="0" fontId="176" fillId="116" borderId="60" xfId="0" applyFont="1" applyFill="1" applyBorder="1" applyAlignment="1">
      <alignment horizontal="left" vertical="center"/>
    </xf>
    <xf numFmtId="0" fontId="0" fillId="0" borderId="0" xfId="0" applyAlignment="1">
      <alignment horizontal="left" vertical="center"/>
    </xf>
    <xf numFmtId="165" fontId="0" fillId="0" borderId="0" xfId="0" applyNumberFormat="1" applyAlignment="1">
      <alignment horizontal="center" vertical="center"/>
    </xf>
    <xf numFmtId="0" fontId="170" fillId="0" borderId="0" xfId="0" applyFont="1" applyAlignment="1">
      <alignment vertical="top" readingOrder="1"/>
    </xf>
    <xf numFmtId="165" fontId="166" fillId="0" borderId="53" xfId="55011" applyNumberFormat="1" applyFont="1" applyFill="1" applyBorder="1" applyAlignment="1">
      <alignment horizontal="right" wrapText="1"/>
    </xf>
    <xf numFmtId="0" fontId="177" fillId="0" borderId="0" xfId="0" applyFont="1"/>
    <xf numFmtId="0" fontId="168" fillId="0" borderId="0" xfId="0" applyFont="1" applyAlignment="1">
      <alignment horizontal="left" readingOrder="1"/>
    </xf>
    <xf numFmtId="0" fontId="168" fillId="0" borderId="54" xfId="0" applyFont="1" applyBorder="1" applyAlignment="1">
      <alignment horizontal="left" readingOrder="1"/>
    </xf>
    <xf numFmtId="164" fontId="165" fillId="0" borderId="0" xfId="0" applyNumberFormat="1" applyFont="1" applyAlignment="1">
      <alignment horizontal="center" wrapText="1" readingOrder="1"/>
    </xf>
    <xf numFmtId="165" fontId="176" fillId="0" borderId="0" xfId="0" applyNumberFormat="1" applyFont="1" applyAlignment="1">
      <alignment horizontal="center" vertical="center" wrapText="1" readingOrder="1"/>
    </xf>
    <xf numFmtId="165" fontId="170" fillId="0" borderId="53" xfId="0" applyNumberFormat="1" applyFont="1" applyBorder="1" applyAlignment="1">
      <alignment horizontal="right" wrapText="1" readingOrder="1"/>
    </xf>
    <xf numFmtId="165" fontId="170" fillId="0" borderId="0" xfId="0" applyNumberFormat="1" applyFont="1" applyAlignment="1">
      <alignment horizontal="right" wrapText="1" readingOrder="1"/>
    </xf>
    <xf numFmtId="165" fontId="170" fillId="0" borderId="55" xfId="0" applyNumberFormat="1" applyFont="1" applyBorder="1" applyAlignment="1">
      <alignment horizontal="right" wrapText="1" readingOrder="1"/>
    </xf>
    <xf numFmtId="165" fontId="170" fillId="0" borderId="54" xfId="0" applyNumberFormat="1" applyFont="1" applyBorder="1" applyAlignment="1">
      <alignment horizontal="right" wrapText="1" readingOrder="1"/>
    </xf>
    <xf numFmtId="0" fontId="6" fillId="0" borderId="0" xfId="0" applyFont="1" applyAlignment="1">
      <alignment horizontal="right" wrapText="1" readingOrder="1"/>
    </xf>
    <xf numFmtId="165" fontId="6" fillId="0" borderId="0" xfId="0" applyNumberFormat="1" applyFont="1" applyAlignment="1">
      <alignment horizontal="right" wrapText="1" readingOrder="1"/>
    </xf>
    <xf numFmtId="0" fontId="167" fillId="0" borderId="0" xfId="0" applyFont="1" applyAlignment="1">
      <alignment readingOrder="1"/>
    </xf>
    <xf numFmtId="165" fontId="166" fillId="0" borderId="0" xfId="545" applyNumberFormat="1" applyFont="1" applyAlignment="1">
      <alignment horizontal="right" wrapText="1"/>
    </xf>
    <xf numFmtId="45" fontId="166" fillId="0" borderId="53" xfId="55011" applyNumberFormat="1" applyFont="1" applyFill="1" applyBorder="1" applyAlignment="1">
      <alignment horizontal="right" wrapText="1"/>
    </xf>
    <xf numFmtId="45" fontId="166" fillId="0" borderId="0" xfId="55011" applyNumberFormat="1" applyFont="1" applyFill="1" applyBorder="1" applyAlignment="1">
      <alignment horizontal="right" wrapText="1"/>
    </xf>
    <xf numFmtId="45" fontId="166" fillId="0" borderId="63" xfId="55011" applyNumberFormat="1" applyFont="1" applyFill="1" applyBorder="1" applyAlignment="1">
      <alignment horizontal="right" wrapText="1"/>
    </xf>
    <xf numFmtId="0" fontId="7" fillId="0" borderId="0" xfId="4" applyFill="1" applyBorder="1" applyAlignment="1">
      <alignment wrapText="1"/>
    </xf>
    <xf numFmtId="197" fontId="0" fillId="0" borderId="57" xfId="0" applyNumberFormat="1" applyBorder="1"/>
    <xf numFmtId="197" fontId="0" fillId="0" borderId="0" xfId="55011" applyNumberFormat="1" applyFont="1"/>
    <xf numFmtId="0" fontId="179" fillId="0" borderId="0" xfId="0" applyFont="1" applyAlignment="1">
      <alignment vertical="top" wrapText="1"/>
    </xf>
    <xf numFmtId="1" fontId="170" fillId="0" borderId="53" xfId="0" applyNumberFormat="1" applyFont="1" applyBorder="1" applyAlignment="1">
      <alignment horizontal="right" wrapText="1" readingOrder="1"/>
    </xf>
    <xf numFmtId="0" fontId="181" fillId="0" borderId="0" xfId="0" applyFont="1"/>
    <xf numFmtId="0" fontId="3" fillId="0" borderId="0" xfId="1" applyAlignment="1">
      <alignment readingOrder="1"/>
    </xf>
    <xf numFmtId="197" fontId="167" fillId="0" borderId="0" xfId="0" applyNumberFormat="1" applyFont="1" applyAlignment="1">
      <alignment horizontal="right" wrapText="1"/>
    </xf>
    <xf numFmtId="0" fontId="7" fillId="0" borderId="0" xfId="4" applyFill="1" applyBorder="1" applyAlignment="1"/>
    <xf numFmtId="0" fontId="7" fillId="0" borderId="0" xfId="4" applyFill="1" applyBorder="1" applyAlignment="1">
      <alignment readingOrder="1"/>
    </xf>
    <xf numFmtId="0" fontId="7" fillId="0" borderId="0" xfId="4" applyFill="1" applyAlignment="1">
      <alignment vertical="top" wrapText="1"/>
    </xf>
    <xf numFmtId="0" fontId="7" fillId="0" borderId="0" xfId="4" applyFill="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100">
    <dxf>
      <numFmt numFmtId="165" formatCode="0.0"/>
    </dxf>
    <dxf>
      <numFmt numFmtId="165" formatCode="0.0"/>
    </dxf>
    <dxf>
      <numFmt numFmtId="165" formatCode="0.0"/>
    </dxf>
    <dxf>
      <numFmt numFmtId="197" formatCode="[$-F400]h:mm:ss\ AM/PM"/>
    </dxf>
    <dxf>
      <numFmt numFmtId="197" formatCode="[$-F400]h:mm:ss\ AM/PM"/>
    </dxf>
    <dxf>
      <numFmt numFmtId="220" formatCode="hh:mm:ss;@"/>
    </dxf>
    <dxf>
      <numFmt numFmtId="221" formatCode="m:ss.00"/>
    </dxf>
    <dxf>
      <numFmt numFmtId="165" formatCode="0.0"/>
    </dxf>
    <dxf>
      <numFmt numFmtId="165" formatCode="0.0"/>
    </dxf>
    <dxf>
      <numFmt numFmtId="165" formatCode="0.0"/>
    </dxf>
    <dxf>
      <numFmt numFmtId="165" formatCode="0.0"/>
    </dxf>
    <dxf>
      <numFmt numFmtId="165" formatCode="0.0"/>
    </dxf>
    <dxf>
      <numFmt numFmtId="165" formatCode="0.0"/>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numFmt numFmtId="28" formatCode="mm:ss"/>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center" vertical="center" textRotation="0" wrapText="0" indent="0" justifyLastLine="0" shrinkToFit="0" readingOrder="0"/>
    </dxf>
    <dxf>
      <numFmt numFmtId="165" formatCode="0.0"/>
      <alignment horizontal="center" vertical="center" textRotation="0" wrapText="0" indent="0" justifyLastLine="0" shrinkToFit="0" readingOrder="0"/>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border diagonalUp="0" diagonalDown="0">
        <left/>
        <right style="thick">
          <color indexed="64"/>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right/>
        <top/>
        <bottom/>
      </border>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97" formatCode="[$-F400]h:mm:ss\ AM/PM"/>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65" formatCode="0.0"/>
      <fill>
        <patternFill patternType="none">
          <fgColor indexed="64"/>
          <bgColor indexed="65"/>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minor"/>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indexed="65"/>
        </patternFill>
      </fill>
      <alignment horizontal="right" vertical="bottom" textRotation="0" wrapText="1" indent="0" justifyLastLine="0" shrinkToFit="0" readingOrder="1"/>
    </dxf>
    <dxf>
      <font>
        <b/>
        <i val="0"/>
        <strike val="0"/>
        <condense val="0"/>
        <extend val="0"/>
        <outline val="0"/>
        <shadow val="0"/>
        <u val="none"/>
        <vertAlign val="baseline"/>
        <sz val="12"/>
        <color auto="1"/>
        <name val="Calibri"/>
        <family val="2"/>
        <scheme val="none"/>
      </font>
      <fill>
        <patternFill patternType="none">
          <fgColor indexed="64"/>
          <bgColor auto="1"/>
        </patternFill>
      </fill>
      <alignment horizontal="left" vertical="bottom" textRotation="0" wrapText="0" indent="0" justifyLastLine="0" shrinkToFit="0" readingOrder="1"/>
    </dxf>
    <dxf>
      <font>
        <b val="0"/>
        <i val="0"/>
        <strike val="0"/>
        <condense val="0"/>
        <extend val="0"/>
        <outline val="0"/>
        <shadow val="0"/>
        <u val="none"/>
        <vertAlign val="baseline"/>
        <sz val="12"/>
        <color auto="1"/>
        <name val="Calibri"/>
        <family val="2"/>
        <scheme val="none"/>
      </font>
      <numFmt numFmtId="165" formatCode="0.0"/>
      <fill>
        <patternFill patternType="none">
          <fgColor indexed="64"/>
          <bgColor auto="1"/>
        </patternFill>
      </fill>
      <alignment horizontal="right" vertical="center" textRotation="0" wrapText="1" indent="0" justifyLastLine="0" shrinkToFit="0" readingOrder="1"/>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left" vertical="bottom" textRotation="0" wrapText="1" indent="0" justifyLastLine="0" shrinkToFit="0" readingOrder="0"/>
    </dxf>
    <dxf>
      <alignment horizontal="center" vertical="center" textRotation="0" wrapText="0" indent="0" justifyLastLine="0" shrinkToFit="0"/>
    </dxf>
  </dxfs>
  <tableStyles count="3" defaultTableStyle="TableStyleMedium2" defaultPivotStyle="PivotStyleLight16">
    <tableStyle name="indicators" pivot="0" table="0" count="6" xr9:uid="{08984A1B-B80F-471B-92B2-992A78CF7614}"/>
    <tableStyle name="indicators 2" pivot="0" table="0" count="6" xr9:uid="{5CCF982B-FDD6-4B47-978C-D59807832B18}"/>
    <tableStyle name="Invisible" pivot="0" table="0" count="0" xr9:uid="{9C9F823B-7536-46A9-B767-1A306B3AC23D}"/>
  </tableStyles>
  <colors>
    <mruColors>
      <color rgb="FF253268"/>
      <color rgb="FF702472"/>
      <color rgb="FF9C46A3"/>
      <color rgb="FF8787C9"/>
      <color rgb="FFA5AFD3"/>
      <color rgb="FF8392C3"/>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indicators 2">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25401</xdr:rowOff>
    </xdr:from>
    <xdr:to>
      <xdr:col>12</xdr:col>
      <xdr:colOff>199255</xdr:colOff>
      <xdr:row>2</xdr:row>
      <xdr:rowOff>93662</xdr:rowOff>
    </xdr:to>
    <mc:AlternateContent xmlns:mc="http://schemas.openxmlformats.org/markup-compatibility/2006" xmlns:a14="http://schemas.microsoft.com/office/drawing/2010/main">
      <mc:Choice Requires="a14">
        <xdr:graphicFrame macro="">
          <xdr:nvGraphicFramePr>
            <xdr:cNvPr id="6" name="Year">
              <a:extLst>
                <a:ext uri="{FF2B5EF4-FFF2-40B4-BE49-F238E27FC236}">
                  <a16:creationId xmlns:a16="http://schemas.microsoft.com/office/drawing/2014/main" id="{E528E501-308B-C654-7B76-39CE8EE50DED}"/>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2700" y="25401"/>
              <a:ext cx="5639152" cy="61118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527712</xdr:colOff>
      <xdr:row>0</xdr:row>
      <xdr:rowOff>20546</xdr:rowOff>
    </xdr:from>
    <xdr:to>
      <xdr:col>26</xdr:col>
      <xdr:colOff>184929</xdr:colOff>
      <xdr:row>2</xdr:row>
      <xdr:rowOff>151073</xdr:rowOff>
    </xdr:to>
    <mc:AlternateContent xmlns:mc="http://schemas.openxmlformats.org/markup-compatibility/2006" xmlns:a14="http://schemas.microsoft.com/office/drawing/2010/main">
      <mc:Choice Requires="a14">
        <xdr:graphicFrame macro="">
          <xdr:nvGraphicFramePr>
            <xdr:cNvPr id="7" name="KPI">
              <a:extLst>
                <a:ext uri="{FF2B5EF4-FFF2-40B4-BE49-F238E27FC236}">
                  <a16:creationId xmlns:a16="http://schemas.microsoft.com/office/drawing/2014/main" id="{83936361-9159-4C44-EDEB-EE81FA1E65B5}"/>
                </a:ext>
              </a:extLst>
            </xdr:cNvPr>
            <xdr:cNvGraphicFramePr/>
          </xdr:nvGraphicFramePr>
          <xdr:xfrm>
            <a:off x="0" y="0"/>
            <a:ext cx="0" cy="0"/>
          </xdr:xfrm>
          <a:graphic>
            <a:graphicData uri="http://schemas.microsoft.com/office/drawing/2010/slicer">
              <sle:slicer xmlns:sle="http://schemas.microsoft.com/office/drawing/2010/slicer" name="KPI"/>
            </a:graphicData>
          </a:graphic>
        </xdr:graphicFrame>
      </mc:Choice>
      <mc:Fallback xmlns="">
        <xdr:sp macro="" textlink="">
          <xdr:nvSpPr>
            <xdr:cNvPr id="0" name=""/>
            <xdr:cNvSpPr>
              <a:spLocks noTextEdit="1"/>
            </xdr:cNvSpPr>
          </xdr:nvSpPr>
          <xdr:spPr>
            <a:xfrm>
              <a:off x="5996183" y="20546"/>
              <a:ext cx="10526010" cy="511527"/>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ong  Trieu" refreshedDate="45496.651441666669" createdVersion="8" refreshedVersion="8" minRefreshableVersion="3" recordCount="25" xr:uid="{47379DB8-DA15-4852-B03F-A86340971809}">
  <cacheSource type="worksheet">
    <worksheetSource name="data"/>
  </cacheSource>
  <cacheFields count="9">
    <cacheField name="Year" numFmtId="0">
      <sharedItems count="9">
        <s v="2015-16"/>
        <s v="2016-17"/>
        <s v="2017-18"/>
        <s v="2018-19"/>
        <s v="2019-20"/>
        <s v="2020-21"/>
        <s v="2021-22"/>
        <s v="2022-23"/>
        <s v="2023-24"/>
      </sharedItems>
    </cacheField>
    <cacheField name="KPI" numFmtId="0">
      <sharedItems count="5">
        <s v="Road user satisfaction"/>
        <s v="Roadworks information timeliness and accuracy"/>
        <s v="Timeliness of information provided to road users through electronic signage"/>
        <s v="Ride Quality"/>
        <s v="Working with local highways authorities to review diversion routes for unplanned events"/>
      </sharedItems>
    </cacheField>
    <cacheField name="National Highways" numFmtId="0">
      <sharedItems containsDate="1" containsString="0" containsBlank="1" containsMixedTypes="1" minDate="1899-12-30T00:01:53" maxDate="1899-12-31T01:30:04"/>
    </cacheField>
    <cacheField name="Yorkshire and North East" numFmtId="0">
      <sharedItems containsDate="1" containsBlank="1" containsMixedTypes="1" minDate="1899-12-30T00:02:19" maxDate="1899-12-31T01:30:04"/>
    </cacheField>
    <cacheField name="North West_x000a_" numFmtId="0">
      <sharedItems containsDate="1" containsBlank="1" containsMixedTypes="1" minDate="1899-12-30T00:01:34" maxDate="1899-12-31T01:30:04"/>
    </cacheField>
    <cacheField name="Midlands_x000a_" numFmtId="0">
      <sharedItems containsDate="1" containsBlank="1" containsMixedTypes="1" minDate="1899-12-30T00:01:26" maxDate="1899-12-31T01:30:04"/>
    </cacheField>
    <cacheField name="East_x000a_" numFmtId="0">
      <sharedItems containsDate="1" containsBlank="1" containsMixedTypes="1" minDate="1899-12-30T00:01:53" maxDate="1899-12-31T01:30:04"/>
    </cacheField>
    <cacheField name="South East_x000a_" numFmtId="0">
      <sharedItems containsDate="1" containsBlank="1" containsMixedTypes="1" minDate="1899-12-30T00:02:00" maxDate="1899-12-31T01:30:04"/>
    </cacheField>
    <cacheField name="South West_x000a_" numFmtId="0">
      <sharedItems containsDate="1" containsBlank="1" containsMixedTypes="1" minDate="1899-12-30T00:01:43" maxDate="1899-12-31T01:30:04"/>
    </cacheField>
  </cacheFields>
  <extLst>
    <ext xmlns:x14="http://schemas.microsoft.com/office/spreadsheetml/2009/9/main" uri="{725AE2AE-9491-48be-B2B4-4EB974FC3084}">
      <x14:pivotCacheDefinition pivotCacheId="731201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
  <r>
    <x v="0"/>
    <x v="0"/>
    <n v="89.3"/>
    <n v="86.09"/>
    <n v="83.54"/>
    <n v="89.05"/>
    <n v="91.75"/>
    <n v="89.070000000000007"/>
    <n v="91.100000000000009"/>
  </r>
  <r>
    <x v="1"/>
    <x v="0"/>
    <n v="89.1"/>
    <n v="87.99"/>
    <n v="82.99"/>
    <n v="86.839999999999989"/>
    <n v="91.05"/>
    <n v="88.460000000000008"/>
    <n v="90.83"/>
  </r>
  <r>
    <x v="2"/>
    <x v="0"/>
    <n v="88.7"/>
    <n v="88.3"/>
    <n v="77.900000000000006"/>
    <n v="88.6"/>
    <n v="90.3"/>
    <n v="90.8"/>
    <n v="88.8"/>
  </r>
  <r>
    <x v="3"/>
    <x v="0"/>
    <n v="88.4"/>
    <n v="91.12"/>
    <n v="84"/>
    <n v="88.26"/>
    <n v="90.29"/>
    <n v="86.429999999999993"/>
    <n v="88.83"/>
  </r>
  <r>
    <x v="4"/>
    <x v="0"/>
    <n v="89.2"/>
    <n v="92.63"/>
    <n v="85.22"/>
    <n v="89.89"/>
    <n v="88.160000000000011"/>
    <n v="88.69"/>
    <n v="88.17"/>
  </r>
  <r>
    <x v="5"/>
    <x v="0"/>
    <m/>
    <m/>
    <m/>
    <m/>
    <m/>
    <m/>
    <m/>
  </r>
  <r>
    <x v="6"/>
    <x v="0"/>
    <m/>
    <m/>
    <m/>
    <m/>
    <m/>
    <m/>
    <m/>
  </r>
  <r>
    <x v="7"/>
    <x v="0"/>
    <n v="73"/>
    <n v="72.900000000000006"/>
    <n v="69.599999999999994"/>
    <n v="72.7"/>
    <n v="72.2"/>
    <n v="71.5"/>
    <n v="80.2"/>
  </r>
  <r>
    <x v="8"/>
    <x v="0"/>
    <n v="71"/>
    <s v="[x]"/>
    <s v="[x]"/>
    <s v="[x]"/>
    <s v="[x]"/>
    <s v="[x]"/>
    <s v="[x]"/>
  </r>
  <r>
    <x v="5"/>
    <x v="1"/>
    <n v="54.5"/>
    <n v="58.4"/>
    <n v="58.3"/>
    <n v="66.3"/>
    <n v="58"/>
    <n v="42.4"/>
    <n v="63.5"/>
  </r>
  <r>
    <x v="6"/>
    <x v="1"/>
    <n v="68.099999999999994"/>
    <n v="62.1"/>
    <n v="66.7"/>
    <n v="73.8"/>
    <n v="72.099999999999994"/>
    <n v="63.4"/>
    <n v="73.7"/>
  </r>
  <r>
    <x v="7"/>
    <x v="1"/>
    <n v="70"/>
    <n v="70.2"/>
    <n v="78.900000000000006"/>
    <n v="68.3"/>
    <n v="75.599999999999994"/>
    <n v="61.5"/>
    <n v="79.7"/>
  </r>
  <r>
    <x v="8"/>
    <x v="1"/>
    <n v="71.099999999999994"/>
    <s v="[x]"/>
    <s v="[x]"/>
    <s v="[x]"/>
    <s v="[x]"/>
    <s v="[x]"/>
    <s v="[x]"/>
  </r>
  <r>
    <x v="5"/>
    <x v="2"/>
    <d v="1899-12-30T00:01:53"/>
    <d v="1899-12-30T00:02:19"/>
    <d v="1899-12-30T00:01:34"/>
    <d v="1899-12-30T00:01:48"/>
    <d v="1899-12-30T00:01:53"/>
    <d v="1899-12-30T00:02:09"/>
    <d v="1899-12-30T00:01:43"/>
  </r>
  <r>
    <x v="6"/>
    <x v="2"/>
    <d v="1899-12-30T00:02:11"/>
    <d v="1899-12-30T00:03:10"/>
    <d v="1899-12-30T00:01:45"/>
    <d v="1899-12-30T00:01:26"/>
    <d v="1899-12-30T00:01:53"/>
    <d v="1899-12-30T00:02:04"/>
    <d v="1899-12-30T00:02:43"/>
  </r>
  <r>
    <x v="7"/>
    <x v="2"/>
    <d v="1899-12-30T00:02:20"/>
    <d v="1899-12-30T00:02:35"/>
    <d v="1899-12-30T00:02:25"/>
    <d v="1899-12-30T00:02:36"/>
    <d v="1899-12-30T00:02:00"/>
    <d v="1899-12-30T00:02:00"/>
    <d v="1899-12-30T00:02:39"/>
  </r>
  <r>
    <x v="8"/>
    <x v="2"/>
    <d v="1899-12-30T00:02:23"/>
    <s v="[x]"/>
    <s v="[x]"/>
    <s v="[x]"/>
    <s v="[x]"/>
    <s v="[x]"/>
    <s v="[x]"/>
  </r>
  <r>
    <x v="5"/>
    <x v="3"/>
    <n v="98.5"/>
    <n v="99.1"/>
    <n v="98.9"/>
    <n v="98.1"/>
    <n v="97.899999999999991"/>
    <n v="98.8"/>
    <n v="98.9"/>
  </r>
  <r>
    <x v="6"/>
    <x v="3"/>
    <n v="98.4"/>
    <n v="98"/>
    <n v="98.4"/>
    <n v="97.5"/>
    <n v="98.1"/>
    <n v="98.1"/>
    <n v="98.9"/>
  </r>
  <r>
    <x v="7"/>
    <x v="3"/>
    <n v="98.6"/>
    <n v="99"/>
    <n v="98.7"/>
    <n v="98.2"/>
    <n v="98.1"/>
    <n v="98.7"/>
    <n v="98.9"/>
  </r>
  <r>
    <x v="8"/>
    <x v="3"/>
    <n v="91.9"/>
    <s v="[x]"/>
    <s v="[x]"/>
    <s v="[x]"/>
    <s v="[x]"/>
    <s v="[x]"/>
    <s v="[x]"/>
  </r>
  <r>
    <x v="5"/>
    <x v="4"/>
    <n v="53"/>
    <m/>
    <m/>
    <m/>
    <m/>
    <m/>
    <m/>
  </r>
  <r>
    <x v="6"/>
    <x v="4"/>
    <n v="97.2"/>
    <n v="92"/>
    <n v="100"/>
    <n v="100"/>
    <n v="100"/>
    <n v="67"/>
    <n v="100"/>
  </r>
  <r>
    <x v="7"/>
    <x v="4"/>
    <n v="99"/>
    <n v="100"/>
    <n v="100"/>
    <n v="100"/>
    <n v="100"/>
    <n v="100"/>
    <n v="91"/>
  </r>
  <r>
    <x v="8"/>
    <x v="4"/>
    <n v="100"/>
    <s v="[x]"/>
    <s v="[x]"/>
    <s v="[x]"/>
    <s v="[x]"/>
    <s v="[x]"/>
    <s v="[x]"/>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1554436-7409-43BB-8367-FB9573C73520}" name="PivotTable31"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D5:E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dataField="1" showAll="0"/>
    <pivotField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Yorkshire and North East" fld="3" baseField="0" baseItem="0"/>
  </dataFields>
  <formats count="1">
    <format dxfId="0">
      <pivotArea collapsedLevelsAreSubtotals="1" fieldPosition="0">
        <references count="1">
          <reference field="0" count="0"/>
        </references>
      </pivotArea>
    </format>
  </formats>
  <conditionalFormats count="2">
    <conditionalFormat priority="11">
      <pivotAreas count="1">
        <pivotArea type="data" collapsedLevelsAreSubtotals="1" fieldPosition="0">
          <references count="2">
            <reference field="4294967294" count="1" selected="0">
              <x v="0"/>
            </reference>
            <reference field="0" count="1">
              <x v="6"/>
            </reference>
          </references>
        </pivotArea>
      </pivotAreas>
    </conditionalFormat>
    <conditionalFormat priority="12">
      <pivotAreas count="1">
        <pivotArea type="data" collapsedLevelsAreSubtotals="1" fieldPosition="0">
          <references count="2">
            <reference field="4294967294" count="1" selected="0">
              <x v="0"/>
            </reference>
            <reference field="0" count="1">
              <x v="5"/>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87E2D06-DF5F-48A5-AD41-11FC654811A3}" name="PivotTable33"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J5:K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dataField="1" showAll="0"/>
    <pivotField showAll="0"/>
    <pivotField showAll="0"/>
    <pivotField showAll="0"/>
  </pivotFields>
  <rowFields count="1">
    <field x="0"/>
  </rowFields>
  <rowItems count="7">
    <i>
      <x/>
    </i>
    <i>
      <x v="1"/>
    </i>
    <i>
      <x v="2"/>
    </i>
    <i>
      <x v="3"/>
    </i>
    <i>
      <x v="4"/>
    </i>
    <i>
      <x v="7"/>
    </i>
    <i>
      <x v="8"/>
    </i>
  </rowItems>
  <colItems count="1">
    <i/>
  </colItems>
  <dataFields count="1">
    <dataField name=" Midlands" fld="5" baseField="0" baseItem="0"/>
  </dataFields>
  <formats count="1">
    <format dxfId="1">
      <pivotArea collapsedLevelsAreSubtotals="1" fieldPosition="0">
        <references count="1">
          <reference field="0" count="0"/>
        </references>
      </pivotArea>
    </format>
  </formats>
  <conditionalFormats count="2">
    <conditionalFormat priority="7">
      <pivotAreas count="1">
        <pivotArea type="data" collapsedLevelsAreSubtotals="1" fieldPosition="0">
          <references count="2">
            <reference field="4294967294" count="1" selected="0">
              <x v="0"/>
            </reference>
            <reference field="0" count="1">
              <x v="6"/>
            </reference>
          </references>
        </pivotArea>
      </pivotAreas>
    </conditionalFormat>
    <conditionalFormat priority="8">
      <pivotAreas count="1">
        <pivotArea type="data" collapsedLevelsAreSubtotals="1" fieldPosition="0">
          <references count="2">
            <reference field="4294967294" count="1" selected="0">
              <x v="0"/>
            </reference>
            <reference field="0" count="1">
              <x v="5"/>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D8CDE5-5F3A-4225-A238-F44A6A9DF72F}" name="PivotTable37"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A42:H49" firstHeaderRow="0" firstDataRow="1" firstDataCol="1" rowPageCount="1" colPageCount="1"/>
  <pivotFields count="9">
    <pivotField axis="axisRow" showAll="0">
      <items count="10">
        <item x="0"/>
        <item x="1"/>
        <item x="2"/>
        <item x="3"/>
        <item x="4"/>
        <item h="1" x="5"/>
        <item h="1" x="6"/>
        <item x="7"/>
        <item x="8"/>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7"/>
    </i>
    <i>
      <x v="8"/>
    </i>
  </rowItems>
  <colFields count="1">
    <field x="-2"/>
  </colFields>
  <colItems count="7">
    <i>
      <x/>
    </i>
    <i i="1">
      <x v="1"/>
    </i>
    <i i="2">
      <x v="2"/>
    </i>
    <i i="3">
      <x v="3"/>
    </i>
    <i i="4">
      <x v="4"/>
    </i>
    <i i="5">
      <x v="5"/>
    </i>
    <i i="6">
      <x v="6"/>
    </i>
  </colItems>
  <pageFields count="1">
    <pageField fld="1" item="1" hier="-1"/>
  </pageFields>
  <dataFields count="7">
    <dataField name=" Yorkshire and North East" fld="3" baseField="0" baseItem="0"/>
    <dataField name=" North West" fld="4" baseField="0" baseItem="2"/>
    <dataField name=" Midlands" fld="5" baseField="0" baseItem="2"/>
    <dataField name=" East" fld="6" baseField="0" baseItem="2"/>
    <dataField name=" South East" fld="7" baseField="0" baseItem="2"/>
    <dataField name=" South West" fld="8" baseField="0" baseItem="2"/>
    <dataField name=" National Highways" fld="2" baseField="0" baseItem="3"/>
  </dataFields>
  <formats count="1">
    <format dxfId="2">
      <pivotArea collapsedLevelsAreSubtotals="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C0B70D-0DD1-423F-A1D5-233659A99721}" name="PivotTable50"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location ref="M42:T49" firstHeaderRow="0" firstDataRow="1" firstDataCol="1" rowPageCount="1" colPageCount="1"/>
  <pivotFields count="9">
    <pivotField axis="axisRow" showAll="0">
      <items count="10">
        <item x="0"/>
        <item x="1"/>
        <item x="2"/>
        <item x="3"/>
        <item x="4"/>
        <item h="1" x="5"/>
        <item h="1" x="6"/>
        <item x="7"/>
        <item x="8"/>
        <item t="default"/>
      </items>
    </pivotField>
    <pivotField axis="axisPage" showAll="0">
      <items count="6">
        <item x="3"/>
        <item x="0"/>
        <item x="1"/>
        <item x="2"/>
        <item x="4"/>
        <item t="default"/>
      </items>
    </pivotField>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7">
    <i>
      <x/>
    </i>
    <i>
      <x v="1"/>
    </i>
    <i>
      <x v="2"/>
    </i>
    <i>
      <x v="3"/>
    </i>
    <i>
      <x v="4"/>
    </i>
    <i>
      <x v="7"/>
    </i>
    <i>
      <x v="8"/>
    </i>
  </rowItems>
  <colFields count="1">
    <field x="-2"/>
  </colFields>
  <colItems count="7">
    <i>
      <x/>
    </i>
    <i i="1">
      <x v="1"/>
    </i>
    <i i="2">
      <x v="2"/>
    </i>
    <i i="3">
      <x v="3"/>
    </i>
    <i i="4">
      <x v="4"/>
    </i>
    <i i="5">
      <x v="5"/>
    </i>
    <i i="6">
      <x v="6"/>
    </i>
  </colItems>
  <pageFields count="1">
    <pageField fld="1" item="1" hier="-1"/>
  </pageFields>
  <dataFields count="7">
    <dataField name="Max of Yorkshire and North East" fld="3" subtotal="max" baseField="0" baseItem="5" numFmtId="220"/>
    <dataField name="Max of North West" fld="4" subtotal="max" baseField="0" baseItem="5" numFmtId="221"/>
    <dataField name=" Midlands" fld="5" baseField="0" baseItem="2" numFmtId="197"/>
    <dataField name=" East" fld="6" baseField="0" baseItem="2"/>
    <dataField name=" South East" fld="7" baseField="0" baseItem="2"/>
    <dataField name=" South West" fld="8" baseField="0" baseItem="2"/>
    <dataField name=" National Highways" fld="2" baseField="0" baseItem="3"/>
  </dataFields>
  <formats count="5">
    <format dxfId="7">
      <pivotArea collapsedLevelsAreSubtotals="1" fieldPosition="0">
        <references count="1">
          <reference field="0" count="0"/>
        </references>
      </pivotArea>
    </format>
    <format dxfId="6">
      <pivotArea outline="0" fieldPosition="0">
        <references count="1">
          <reference field="4294967294" count="1">
            <x v="1"/>
          </reference>
        </references>
      </pivotArea>
    </format>
    <format dxfId="5">
      <pivotArea outline="0" fieldPosition="0">
        <references count="1">
          <reference field="4294967294" count="1">
            <x v="0"/>
          </reference>
        </references>
      </pivotArea>
    </format>
    <format dxfId="4">
      <pivotArea outline="0" collapsedLevelsAreSubtotals="1" fieldPosition="0">
        <references count="1">
          <reference field="4294967294" count="1" selected="0">
            <x v="2"/>
          </reference>
        </references>
      </pivotArea>
    </format>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2D9251-94E3-4A7B-A165-77B5AEDE41BB}" name="PivotTable30"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Year">
  <location ref="A5:B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dataField="1" showAll="0"/>
    <pivotField showAll="0"/>
    <pivotField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National Highways" fld="2" baseField="0" baseItem="0"/>
  </dataFields>
  <formats count="1">
    <format dxfId="8">
      <pivotArea collapsedLevelsAreSubtotals="1" fieldPosition="0">
        <references count="1">
          <reference field="0" count="0"/>
        </references>
      </pivotArea>
    </format>
  </formats>
  <conditionalFormats count="2">
    <conditionalFormat priority="13">
      <pivotAreas count="1">
        <pivotArea type="data" collapsedLevelsAreSubtotals="1" fieldPosition="0">
          <references count="2">
            <reference field="4294967294" count="1" selected="0">
              <x v="0"/>
            </reference>
            <reference field="0" count="1">
              <x v="6"/>
            </reference>
          </references>
        </pivotArea>
      </pivotAreas>
    </conditionalFormat>
    <conditionalFormat priority="1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1">
    <chartFormat chart="7"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C327203-97EC-492F-99DB-E31A95200DDA}" name="PivotTable36"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S5:T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showAll="0"/>
    <pivotField showAll="0"/>
    <pivotField dataField="1" showAll="0"/>
  </pivotFields>
  <rowFields count="1">
    <field x="0"/>
  </rowFields>
  <rowItems count="7">
    <i>
      <x/>
    </i>
    <i>
      <x v="1"/>
    </i>
    <i>
      <x v="2"/>
    </i>
    <i>
      <x v="3"/>
    </i>
    <i>
      <x v="4"/>
    </i>
    <i>
      <x v="7"/>
    </i>
    <i>
      <x v="8"/>
    </i>
  </rowItems>
  <colItems count="1">
    <i/>
  </colItems>
  <dataFields count="1">
    <dataField name=" South West" fld="8" baseField="0" baseItem="0"/>
  </dataFields>
  <formats count="1">
    <format dxfId="9">
      <pivotArea collapsedLevelsAreSubtotals="1" fieldPosition="0">
        <references count="1">
          <reference field="0" count="0"/>
        </references>
      </pivotArea>
    </format>
  </formats>
  <conditionalFormats count="2">
    <conditionalFormat priority="1">
      <pivotAreas count="1">
        <pivotArea type="data" collapsedLevelsAreSubtotals="1" fieldPosition="0">
          <references count="2">
            <reference field="4294967294" count="1" selected="0">
              <x v="0"/>
            </reference>
            <reference field="0" count="1">
              <x v="6"/>
            </reference>
          </references>
        </pivotArea>
      </pivotAreas>
    </conditionalFormat>
    <conditionalFormat priority="2">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11">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 chart="3" format="31">
      <pivotArea type="data" outline="0" fieldPosition="0">
        <references count="2">
          <reference field="4294967294" count="1" selected="0">
            <x v="0"/>
          </reference>
          <reference field="0" count="1" selected="0">
            <x v="8"/>
          </reference>
        </references>
      </pivotArea>
    </chartFormat>
    <chartFormat chart="3" format="32">
      <pivotArea type="data" outline="0" fieldPosition="0">
        <references count="2">
          <reference field="4294967294" count="1" selected="0">
            <x v="0"/>
          </reference>
          <reference field="0" count="1" selected="0">
            <x v="0"/>
          </reference>
        </references>
      </pivotArea>
    </chartFormat>
    <chartFormat chart="3" format="33">
      <pivotArea type="data" outline="0" fieldPosition="0">
        <references count="2">
          <reference field="4294967294" count="1" selected="0">
            <x v="0"/>
          </reference>
          <reference field="0" count="1" selected="0">
            <x v="1"/>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5A7C5B6-6D87-4415-BFC4-9E50D0F5B850}" name="PivotTable35"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P5:Q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showAll="0"/>
    <pivotField dataField="1" showAll="0"/>
    <pivotField showAll="0"/>
  </pivotFields>
  <rowFields count="1">
    <field x="0"/>
  </rowFields>
  <rowItems count="7">
    <i>
      <x/>
    </i>
    <i>
      <x v="1"/>
    </i>
    <i>
      <x v="2"/>
    </i>
    <i>
      <x v="3"/>
    </i>
    <i>
      <x v="4"/>
    </i>
    <i>
      <x v="7"/>
    </i>
    <i>
      <x v="8"/>
    </i>
  </rowItems>
  <colItems count="1">
    <i/>
  </colItems>
  <dataFields count="1">
    <dataField name=" South East" fld="7" baseField="0" baseItem="0"/>
  </dataFields>
  <formats count="1">
    <format dxfId="10">
      <pivotArea collapsedLevelsAreSubtotals="1" fieldPosition="0">
        <references count="1">
          <reference field="0" count="0"/>
        </references>
      </pivotArea>
    </format>
  </formats>
  <conditionalFormats count="2">
    <conditionalFormat priority="3">
      <pivotAreas count="1">
        <pivotArea type="data" collapsedLevelsAreSubtotals="1" fieldPosition="0">
          <references count="2">
            <reference field="4294967294" count="1" selected="0">
              <x v="0"/>
            </reference>
            <reference field="0" count="1">
              <x v="6"/>
            </reference>
          </references>
        </pivotArea>
      </pivotAreas>
    </conditionalFormat>
    <conditionalFormat priority="4">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11">
    <chartFormat chart="3" format="23" series="1">
      <pivotArea type="data" outline="0" fieldPosition="0">
        <references count="1">
          <reference field="4294967294" count="1" selected="0">
            <x v="0"/>
          </reference>
        </references>
      </pivotArea>
    </chartFormat>
    <chartFormat chart="3" format="24">
      <pivotArea type="data" outline="0" fieldPosition="0">
        <references count="2">
          <reference field="4294967294" count="1" selected="0">
            <x v="0"/>
          </reference>
          <reference field="0" count="1" selected="0">
            <x v="6"/>
          </reference>
        </references>
      </pivotArea>
    </chartFormat>
    <chartFormat chart="3" format="25">
      <pivotArea type="data" outline="0" fieldPosition="0">
        <references count="2">
          <reference field="4294967294" count="1" selected="0">
            <x v="0"/>
          </reference>
          <reference field="0" count="1" selected="0">
            <x v="5"/>
          </reference>
        </references>
      </pivotArea>
    </chartFormat>
    <chartFormat chart="3" format="26">
      <pivotArea type="data" outline="0" fieldPosition="0">
        <references count="2">
          <reference field="4294967294" count="1" selected="0">
            <x v="0"/>
          </reference>
          <reference field="0" count="1" selected="0">
            <x v="7"/>
          </reference>
        </references>
      </pivotArea>
    </chartFormat>
    <chartFormat chart="3" format="30">
      <pivotArea type="data" outline="0" fieldPosition="0">
        <references count="1">
          <reference field="4294967294" count="1" selected="0">
            <x v="0"/>
          </reference>
        </references>
      </pivotArea>
    </chartFormat>
    <chartFormat chart="3" format="31">
      <pivotArea type="data" outline="0" fieldPosition="0">
        <references count="2">
          <reference field="4294967294" count="1" selected="0">
            <x v="0"/>
          </reference>
          <reference field="0" count="1" selected="0">
            <x v="8"/>
          </reference>
        </references>
      </pivotArea>
    </chartFormat>
    <chartFormat chart="3" format="32">
      <pivotArea type="data" outline="0" fieldPosition="0">
        <references count="2">
          <reference field="4294967294" count="1" selected="0">
            <x v="0"/>
          </reference>
          <reference field="0" count="1" selected="0">
            <x v="0"/>
          </reference>
        </references>
      </pivotArea>
    </chartFormat>
    <chartFormat chart="3" format="33">
      <pivotArea type="data" outline="0" fieldPosition="0">
        <references count="2">
          <reference field="4294967294" count="1" selected="0">
            <x v="0"/>
          </reference>
          <reference field="0" count="1" selected="0">
            <x v="1"/>
          </reference>
        </references>
      </pivotArea>
    </chartFormat>
    <chartFormat chart="3" format="34">
      <pivotArea type="data" outline="0" fieldPosition="0">
        <references count="2">
          <reference field="4294967294" count="1" selected="0">
            <x v="0"/>
          </reference>
          <reference field="0" count="1" selected="0">
            <x v="2"/>
          </reference>
        </references>
      </pivotArea>
    </chartFormat>
    <chartFormat chart="3" format="35">
      <pivotArea type="data" outline="0" fieldPosition="0">
        <references count="2">
          <reference field="4294967294" count="1" selected="0">
            <x v="0"/>
          </reference>
          <reference field="0" count="1" selected="0">
            <x v="3"/>
          </reference>
        </references>
      </pivotArea>
    </chartFormat>
    <chartFormat chart="3" format="36">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AA43282A-75A0-4755-B49C-9A45DE3A7CB6}" name="PivotTable32"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G5:H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dataField="1" showAll="0"/>
    <pivotField showAll="0"/>
    <pivotField showAll="0"/>
    <pivotField showAll="0"/>
    <pivotField showAll="0"/>
  </pivotFields>
  <rowFields count="1">
    <field x="0"/>
  </rowFields>
  <rowItems count="7">
    <i>
      <x/>
    </i>
    <i>
      <x v="1"/>
    </i>
    <i>
      <x v="2"/>
    </i>
    <i>
      <x v="3"/>
    </i>
    <i>
      <x v="4"/>
    </i>
    <i>
      <x v="7"/>
    </i>
    <i>
      <x v="8"/>
    </i>
  </rowItems>
  <colItems count="1">
    <i/>
  </colItems>
  <dataFields count="1">
    <dataField name=" North West" fld="4" baseField="0" baseItem="0"/>
  </dataFields>
  <formats count="1">
    <format dxfId="11">
      <pivotArea collapsedLevelsAreSubtotals="1" fieldPosition="0">
        <references count="1">
          <reference field="0" count="0"/>
        </references>
      </pivotArea>
    </format>
  </formats>
  <conditionalFormats count="2">
    <conditionalFormat priority="9">
      <pivotAreas count="1">
        <pivotArea type="data" collapsedLevelsAreSubtotals="1" fieldPosition="0">
          <references count="2">
            <reference field="4294967294" count="1" selected="0">
              <x v="0"/>
            </reference>
            <reference field="0" count="1">
              <x v="6"/>
            </reference>
          </references>
        </pivotArea>
      </pivotAreas>
    </conditionalFormat>
    <conditionalFormat priority="10">
      <pivotAreas count="1">
        <pivotArea type="data" collapsedLevelsAreSubtotals="1" fieldPosition="0">
          <references count="2">
            <reference field="4294967294" count="1" selected="0">
              <x v="0"/>
            </reference>
            <reference field="0" count="1">
              <x v="5"/>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D4DA340-FF0C-43E0-9949-159FF94CBF89}" name="PivotTable34" cacheId="2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4" rowHeaderCaption="Year">
  <location ref="M5:N12" firstHeaderRow="1" firstDataRow="1" firstDataCol="1"/>
  <pivotFields count="9">
    <pivotField axis="axisRow" showAll="0">
      <items count="10">
        <item x="0"/>
        <item x="1"/>
        <item x="2"/>
        <item x="3"/>
        <item x="4"/>
        <item h="1" x="5"/>
        <item h="1" x="6"/>
        <item x="7"/>
        <item x="8"/>
        <item t="default"/>
      </items>
    </pivotField>
    <pivotField showAll="0">
      <items count="6">
        <item h="1" x="3"/>
        <item x="0"/>
        <item h="1" x="1"/>
        <item h="1" x="2"/>
        <item h="1" x="4"/>
        <item t="default"/>
      </items>
    </pivotField>
    <pivotField showAll="0"/>
    <pivotField showAll="0"/>
    <pivotField showAll="0"/>
    <pivotField showAll="0"/>
    <pivotField dataField="1" showAll="0"/>
    <pivotField showAll="0"/>
    <pivotField showAll="0"/>
  </pivotFields>
  <rowFields count="1">
    <field x="0"/>
  </rowFields>
  <rowItems count="7">
    <i>
      <x/>
    </i>
    <i>
      <x v="1"/>
    </i>
    <i>
      <x v="2"/>
    </i>
    <i>
      <x v="3"/>
    </i>
    <i>
      <x v="4"/>
    </i>
    <i>
      <x v="7"/>
    </i>
    <i>
      <x v="8"/>
    </i>
  </rowItems>
  <colItems count="1">
    <i/>
  </colItems>
  <dataFields count="1">
    <dataField name=" East" fld="6" baseField="0" baseItem="0"/>
  </dataFields>
  <formats count="1">
    <format dxfId="12">
      <pivotArea collapsedLevelsAreSubtotals="1" fieldPosition="0">
        <references count="1">
          <reference field="0" count="0"/>
        </references>
      </pivotArea>
    </format>
  </formats>
  <conditionalFormats count="2">
    <conditionalFormat priority="5">
      <pivotAreas count="1">
        <pivotArea type="data" collapsedLevelsAreSubtotals="1" fieldPosition="0">
          <references count="2">
            <reference field="4294967294" count="1" selected="0">
              <x v="0"/>
            </reference>
            <reference field="0" count="1">
              <x v="6"/>
            </reference>
          </references>
        </pivotArea>
      </pivotAreas>
    </conditionalFormat>
    <conditionalFormat priority="6">
      <pivotAreas count="1">
        <pivotArea type="data" collapsedLevelsAreSubtotals="1" fieldPosition="0">
          <references count="2">
            <reference field="4294967294" count="1" selected="0">
              <x v="0"/>
            </reference>
            <reference field="0" count="1">
              <x v="5"/>
            </reference>
          </references>
        </pivotArea>
      </pivotAreas>
    </conditionalFormat>
  </conditionalFormats>
  <chartFormats count="11">
    <chartFormat chart="3" format="24" series="1">
      <pivotArea type="data" outline="0" fieldPosition="0">
        <references count="1">
          <reference field="4294967294" count="1" selected="0">
            <x v="0"/>
          </reference>
        </references>
      </pivotArea>
    </chartFormat>
    <chartFormat chart="3" format="25">
      <pivotArea type="data" outline="0" fieldPosition="0">
        <references count="1">
          <reference field="4294967294" count="1" selected="0">
            <x v="0"/>
          </reference>
        </references>
      </pivotArea>
    </chartFormat>
    <chartFormat chart="3" format="26">
      <pivotArea type="data" outline="0" fieldPosition="0">
        <references count="2">
          <reference field="4294967294" count="1" selected="0">
            <x v="0"/>
          </reference>
          <reference field="0" count="1" selected="0">
            <x v="5"/>
          </reference>
        </references>
      </pivotArea>
    </chartFormat>
    <chartFormat chart="3" format="27">
      <pivotArea type="data" outline="0" fieldPosition="0">
        <references count="2">
          <reference field="4294967294" count="1" selected="0">
            <x v="0"/>
          </reference>
          <reference field="0" count="1" selected="0">
            <x v="6"/>
          </reference>
        </references>
      </pivotArea>
    </chartFormat>
    <chartFormat chart="3" format="28">
      <pivotArea type="data" outline="0" fieldPosition="0">
        <references count="2">
          <reference field="4294967294" count="1" selected="0">
            <x v="0"/>
          </reference>
          <reference field="0" count="1" selected="0">
            <x v="0"/>
          </reference>
        </references>
      </pivotArea>
    </chartFormat>
    <chartFormat chart="3" format="29">
      <pivotArea type="data" outline="0" fieldPosition="0">
        <references count="2">
          <reference field="4294967294" count="1" selected="0">
            <x v="0"/>
          </reference>
          <reference field="0" count="1" selected="0">
            <x v="1"/>
          </reference>
        </references>
      </pivotArea>
    </chartFormat>
    <chartFormat chart="3" format="30">
      <pivotArea type="data" outline="0" fieldPosition="0">
        <references count="2">
          <reference field="4294967294" count="1" selected="0">
            <x v="0"/>
          </reference>
          <reference field="0" count="1" selected="0">
            <x v="2"/>
          </reference>
        </references>
      </pivotArea>
    </chartFormat>
    <chartFormat chart="3" format="31">
      <pivotArea type="data" outline="0" fieldPosition="0">
        <references count="2">
          <reference field="4294967294" count="1" selected="0">
            <x v="0"/>
          </reference>
          <reference field="0" count="1" selected="0">
            <x v="3"/>
          </reference>
        </references>
      </pivotArea>
    </chartFormat>
    <chartFormat chart="3" format="32">
      <pivotArea type="data" outline="0" fieldPosition="0">
        <references count="2">
          <reference field="4294967294" count="1" selected="0">
            <x v="0"/>
          </reference>
          <reference field="0" count="1" selected="0">
            <x v="4"/>
          </reference>
        </references>
      </pivotArea>
    </chartFormat>
    <chartFormat chart="3" format="33">
      <pivotArea type="data" outline="0" fieldPosition="0">
        <references count="2">
          <reference field="4294967294" count="1" selected="0">
            <x v="0"/>
          </reference>
          <reference field="0" count="1" selected="0">
            <x v="7"/>
          </reference>
        </references>
      </pivotArea>
    </chartFormat>
    <chartFormat chart="3" format="34">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 xr10:uid="{6AC81560-3109-4618-B428-C64BC4DE2FCC}" sourceName="KPI">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5">
        <i x="3"/>
        <i x="0" s="1"/>
        <i x="1"/>
        <i x="2"/>
        <i x="4"/>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67E132E0-A23E-422C-BD7A-39DB84A0A4D9}" sourceName="Year">
  <pivotTables>
    <pivotTable tabId="15" name="PivotTable30"/>
    <pivotTable tabId="15" name="PivotTable31"/>
    <pivotTable tabId="15" name="PivotTable32"/>
    <pivotTable tabId="15" name="PivotTable33"/>
    <pivotTable tabId="15" name="PivotTable34"/>
    <pivotTable tabId="15" name="PivotTable35"/>
    <pivotTable tabId="15" name="PivotTable36"/>
    <pivotTable tabId="15" name="PivotTable37"/>
    <pivotTable tabId="15" name="PivotTable50"/>
  </pivotTables>
  <data>
    <tabular pivotCacheId="73120123" showMissing="0">
      <items count="9">
        <i x="0" s="1"/>
        <i x="1" s="1"/>
        <i x="2" s="1"/>
        <i x="3" s="1"/>
        <i x="4" s="1"/>
        <i x="7" s="1"/>
        <i x="8" s="1"/>
        <i x="5" nd="1"/>
        <i x="6"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KPI" xr10:uid="{D64402D3-5911-4B6B-AD66-2F4ACE8F21DC}" cache="Slicer_KPI" caption="KPI" columnCount="5" showCaption="0" style="indicators 2" rowHeight="241300"/>
  <slicer name="Year" xr10:uid="{92A94F54-366B-4D1E-8BE8-4A76512D5895}" cache="Slicer_Year" caption="Year" columnCount="7"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8" totalsRowShown="0">
  <tableColumns count="2">
    <tableColumn id="1" xr3:uid="{00000000-0010-0000-0100-000001000000}" name="Note number " dataDxfId="99"/>
    <tableColumn id="2" xr3:uid="{00000000-0010-0000-0100-000002000000}" name="Note text " dataDxfId="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8" totalsRowShown="0">
  <autoFilter ref="A3:B8" xr:uid="{A2E2B00C-F437-45B3-8503-7AA9961C3F10}">
    <filterColumn colId="0" hiddenButton="1"/>
    <filterColumn colId="1" hiddenButton="1"/>
  </autoFilter>
  <tableColumns count="2">
    <tableColumn id="1" xr3:uid="{557ED635-1147-439E-8F74-0D2BBB4D3AF5}" name="Worksheet name" dataDxfId="97"/>
    <tableColumn id="2" xr3:uid="{7C0BBB98-1A7D-4386-9200-AB6B86FDDAAE}" name="Worksheet title" dataDxfId="9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0B9AA53-CCC2-4207-9D3B-4C3E2D790077}" name="Table_5a" displayName="Table_5a" ref="A6:H16" totalsRowShown="0" headerRowDxfId="95" dataDxfId="94">
  <autoFilter ref="A6:H16" xr:uid="{50B9AA53-CCC2-4207-9D3B-4C3E2D79007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9E48F1-664F-413E-BBFE-75E8015BC446}" name="Time period" dataDxfId="93"/>
    <tableColumn id="2" xr3:uid="{285A2F75-E46A-48A9-94D5-6F18FD21CCD4}" name="England's strategic road network_x000a_ (percentage satisfied)" dataDxfId="92"/>
    <tableColumn id="3" xr3:uid="{29EEDDB6-3E4B-4D9A-8D59-D6694FCBEC8D}" name="Yorkshire and North East_x000a_ (percentage satisfied)" dataDxfId="91"/>
    <tableColumn id="4" xr3:uid="{94C5612E-12E2-488D-AC42-9EE105FA927B}" name="North West_x000a_ (percentage satisfied)" dataDxfId="90"/>
    <tableColumn id="5" xr3:uid="{331CFD12-9B01-463A-B54B-D03674C10F38}" name="Midlands_x000a_ (percentage satisfied)" dataDxfId="89"/>
    <tableColumn id="6" xr3:uid="{95250C00-F3B7-40BF-8F06-9D171599D553}" name="East_x000a_ (percentage satisfied)" dataDxfId="88"/>
    <tableColumn id="7" xr3:uid="{D19CBDBF-F3C8-485F-B247-DAF6585AF2C5}" name="South East_x000a_ (percentage satisfied)" dataDxfId="87"/>
    <tableColumn id="8" xr3:uid="{0A0D0FF4-DB70-4928-AD52-185ED14C3327}" name="South West_x000a_(percentage satisfied)" dataDxfId="8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4F97F00-70AD-4EBC-94AE-34A7B442BA59}" name="Table_5b" displayName="Table_5b" ref="A4:H9" totalsRowShown="0" headerRowDxfId="85" dataDxfId="84">
  <autoFilter ref="A4:H9" xr:uid="{A4F97F00-70AD-4EBC-94AE-34A7B442BA5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DE0A4AF-6848-4422-B0EB-D9D4F7A232D8}" name="Time period" dataDxfId="83"/>
    <tableColumn id="2" xr3:uid="{6F0844CC-6B27-4852-81A2-7F6D7E2A00B5}" name="England's strategic road network_x000a_ (percentage)" dataDxfId="82"/>
    <tableColumn id="3" xr3:uid="{E54E07F8-4978-45F6-B0FB-81BBDB92C230}" name="Yorkshire and North East_x000a_(percentage)" dataDxfId="81"/>
    <tableColumn id="4" xr3:uid="{C46DF05F-FD4A-46B5-A54D-90C7686B6978}" name="North West_x000a_(percentage)" dataDxfId="80"/>
    <tableColumn id="5" xr3:uid="{E87C214F-8EBF-45B4-A0D5-4CBD2DB570D5}" name="Midlands_x000a_(percentage)" dataDxfId="79"/>
    <tableColumn id="6" xr3:uid="{8FE9EA0F-0B99-43F7-827B-5C0B39BCC5B7}" name="East_x000a_(percentage)" dataDxfId="78"/>
    <tableColumn id="7" xr3:uid="{C8AF99EC-CE6A-461C-AFA1-7D837EAB9AB1}" name="South East_x000a_(percentage)" dataDxfId="77"/>
    <tableColumn id="8" xr3:uid="{77A01817-5196-448D-AC3C-9615C3AD1B73}" name="South West_x000a_(percentage)" dataDxfId="7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BAB42-A5B2-42B6-9074-75A36813848D}" name="Table_5c" displayName="Table_5c" ref="A3:H8" totalsRowShown="0" headerRowDxfId="75" dataDxfId="74">
  <autoFilter ref="A3:H8" xr:uid="{2DCBAB42-A5B2-42B6-9074-75A3681384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8448873-44AC-4427-AD29-9305C3F26472}" name="Time period" dataDxfId="73"/>
    <tableColumn id="2" xr3:uid="{DF4BACB1-4E47-4812-81CD-CACAEA7C228E}" name="England's strategic road network_x000a_ (mm:ss)" dataDxfId="72"/>
    <tableColumn id="3" xr3:uid="{C758BA09-1C58-4C55-8CB8-0289FCCB0E4A}" name="Yorkshire and North East_x000a_(mm:ss)" dataDxfId="71"/>
    <tableColumn id="4" xr3:uid="{C2593EF8-7AE6-47D2-A639-8FC050F7822E}" name="North West_x000a_(mm:ss)" dataDxfId="70"/>
    <tableColumn id="5" xr3:uid="{95A6C267-E7FE-467C-9EBC-74AD75173C1D}" name="Midlands_x000a_(mm:ss)" dataDxfId="69"/>
    <tableColumn id="6" xr3:uid="{DB75F92D-4617-4ACA-ABA3-1C7A8771BD77}" name="East_x000a_(mm:ss)" dataDxfId="68"/>
    <tableColumn id="7" xr3:uid="{6475C016-E722-4FAF-B793-BBC0B34D516A}" name="South East_x000a_(mm:ss)" dataDxfId="67"/>
    <tableColumn id="8" xr3:uid="{A6E12230-99F9-4856-A149-6CBD679B3C9D}" name="South West_x000a_(mm:ss)" dataDxfId="6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C1A8278-B963-4977-AEA7-011A66C9EC5F}" name="Table_5d" displayName="Table_5d" ref="A3:H8" totalsRowShown="0" headerRowDxfId="65" dataDxfId="64">
  <autoFilter ref="A3:H8" xr:uid="{2C1A8278-B963-4977-AEA7-011A66C9EC5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B8324F-9F75-4ADC-9FA4-99816EAA1B94}" name="Time period" dataDxfId="63" totalsRowDxfId="62"/>
    <tableColumn id="2" xr3:uid="{C008ACDC-931B-45E3-AB1F-56FBE12ACECA}" name="England's strategic road network_x000a_ (percentage)" dataDxfId="61" totalsRowDxfId="60"/>
    <tableColumn id="3" xr3:uid="{BE39872B-AB01-476C-9C6B-B9B2117CB36E}" name="Yorkshire and North East_x000a_(percentage)" dataDxfId="59" totalsRowDxfId="58"/>
    <tableColumn id="4" xr3:uid="{509B098D-7532-4B30-B461-6F0EFE828DCE}" name="North West_x000a_(percentage)" dataDxfId="57" totalsRowDxfId="56" dataCellStyle="Normal 2 2 21" totalsRowCellStyle="Normal 2 2 21"/>
    <tableColumn id="5" xr3:uid="{65CA1DFE-0788-4772-B603-A7D96F5BDC06}" name="Midlands_x000a_(percentage)" dataDxfId="55" totalsRowDxfId="54" dataCellStyle="Normal 2 2 21" totalsRowCellStyle="Normal 2 2 21"/>
    <tableColumn id="6" xr3:uid="{678881CB-D69C-4B65-A715-41D4B33FFD0D}" name="East_x000a_(percentage)" dataDxfId="53" totalsRowDxfId="52"/>
    <tableColumn id="7" xr3:uid="{2D9C52CE-3DA6-48F1-B3DF-E73CEF8AAADA}" name="South East_x000a_(percentage)" dataDxfId="51" totalsRowDxfId="50"/>
    <tableColumn id="8" xr3:uid="{C2EAB2C5-B662-4387-81F9-CF5BC9D1488C}" name="South West_x000a_(percentage)" dataDxfId="49" totalsRowDxfId="48"/>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C27D614-B14F-40D3-B923-525D7E158079}" name="Table_5e" displayName="Table_5e" ref="A3:H8" totalsRowShown="0" headerRowDxfId="47" dataDxfId="46">
  <autoFilter ref="A3:H8" xr:uid="{0C27D614-B14F-40D3-B923-525D7E1580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7163DCA-26C4-45F2-AB14-A394EF325134}" name="Time period" dataDxfId="45"/>
    <tableColumn id="2" xr3:uid="{5FB25F37-30B7-419D-AE32-49A731F295EF}" name="National Highways_x000a_ (percentage)" dataDxfId="44"/>
    <tableColumn id="3" xr3:uid="{820E0207-CB89-4268-BA26-2CE77D9A50DC}" name="Yorkshire and North East_x000a_(percentage)" dataDxfId="43"/>
    <tableColumn id="4" xr3:uid="{BAE046E9-03D3-4775-AC66-7598457C1D90}" name="North West_x000a_(percentage)" dataDxfId="42"/>
    <tableColumn id="5" xr3:uid="{397A98AD-C7DF-474F-BDFD-AF68F329081E}" name="Midlands_x000a_(percentage)" dataDxfId="41"/>
    <tableColumn id="6" xr3:uid="{0C9F9E38-B3F6-45DE-BA3F-6C16EA446F17}" name="East_x000a_(percentage)" dataDxfId="40"/>
    <tableColumn id="7" xr3:uid="{5B61598C-7D6A-481E-BFA5-5BC8EFF57689}" name="South East_x000a_(percentage)" dataDxfId="39"/>
    <tableColumn id="8" xr3:uid="{044CDFE1-3FD8-425A-95E1-C5645C8A5DA9}" name="South West_x000a_(percentage)" dataDxfId="3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5B7D2BF-9C9A-486D-901B-0AE56676464A}" name="data" displayName="data" ref="C2:K27" totalsRowShown="0" headerRowDxfId="37" dataDxfId="36">
  <autoFilter ref="C2:K27" xr:uid="{75B7D2BF-9C9A-486D-901B-0AE56676464A}"/>
  <tableColumns count="9">
    <tableColumn id="1" xr3:uid="{DD609419-1099-4977-9FF9-287A8E3FF122}" name="Year" dataDxfId="35"/>
    <tableColumn id="2" xr3:uid="{668F2F37-559E-46C7-BEBA-6C0E3AB428D8}" name="KPI" dataDxfId="34"/>
    <tableColumn id="3" xr3:uid="{2FD9A91A-9ABC-4ADA-9A78-A1D8E7EC4FB3}" name="National Highways" dataDxfId="33"/>
    <tableColumn id="4" xr3:uid="{766777C8-6C12-41B4-A64B-7328855C75C8}" name="Yorkshire and North East" dataDxfId="32"/>
    <tableColumn id="5" xr3:uid="{FDCF8639-2EFC-4851-9C42-F669D0BFD073}" name="North West_x000a_" dataDxfId="31"/>
    <tableColumn id="6" xr3:uid="{B608A0D0-BDFF-4DD6-A297-180CE64146FE}" name="Midlands_x000a_" dataDxfId="30"/>
    <tableColumn id="7" xr3:uid="{7C365D33-40B0-4915-87AF-21A2CB89076F}" name="East_x000a_" dataDxfId="29"/>
    <tableColumn id="8" xr3:uid="{94493D29-9E94-4306-9CC2-312D985A2F50}" name="South East_x000a_" dataDxfId="28"/>
    <tableColumn id="9" xr3:uid="{0F14E2D1-2898-4344-821F-AF51F9CE4E44}" name="South West_x000a_" dataDxfId="2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01sdbznz/2021-22-performance-monitoring-statements.xlsx" TargetMode="External"/><Relationship Id="rId13" Type="http://schemas.openxmlformats.org/officeDocument/2006/relationships/hyperlink" Target="https://nationalhighways.co.uk/media/fc5c5k0k/abr-v5-171023.pdf" TargetMode="External"/><Relationship Id="rId3" Type="http://schemas.openxmlformats.org/officeDocument/2006/relationships/hyperlink" Target="mailto:highways.monitor@orr.gov.uk" TargetMode="External"/><Relationship Id="rId7" Type="http://schemas.openxmlformats.org/officeDocument/2006/relationships/hyperlink" Target="https://nationalhighways.co.uk/media/tx1hdslj/2022-23-performance-monitoring-statements.xlsx" TargetMode="External"/><Relationship Id="rId12" Type="http://schemas.openxmlformats.org/officeDocument/2006/relationships/hyperlink" Target="https://nationalhighways.co.uk/media/b0jdsyzl/2021-22-nh-regional-performance-disaggregation-final.xlsx" TargetMode="External"/><Relationship Id="rId2" Type="http://schemas.openxmlformats.org/officeDocument/2006/relationships/hyperlink" Target="https://nationalhighways.co.uk/media/qe1cjb2b/nh-srn-simplified-map-2023.pdf" TargetMode="External"/><Relationship Id="rId1" Type="http://schemas.openxmlformats.org/officeDocument/2006/relationships/hyperlink" Target="https://nationalhighways.co.uk/media/5paempnz/ris2-omm-published-18-july-2023-final.pdf" TargetMode="External"/><Relationship Id="rId6" Type="http://schemas.openxmlformats.org/officeDocument/2006/relationships/hyperlink" Target="https://nationalhighways.co.uk/media/hymao3xw/20240719-national-highways-performance-monitoring-statements-year-end-2023-24.pdf" TargetMode="External"/><Relationship Id="rId11" Type="http://schemas.openxmlformats.org/officeDocument/2006/relationships/hyperlink" Target="https://nationalhighways.co.uk/media/3smeti4y/2020-21-highways-england-regional-performance-disaggregation-1.xlsx" TargetMode="External"/><Relationship Id="rId5" Type="http://schemas.openxmlformats.org/officeDocument/2006/relationships/hyperlink" Target="https://nationalhighways.co.uk/media/hf3g525d/2024-25-national-highways-performance-monitoring-statements.pdf" TargetMode="External"/><Relationship Id="rId15" Type="http://schemas.openxmlformats.org/officeDocument/2006/relationships/printerSettings" Target="../printerSettings/printerSettings1.bin"/><Relationship Id="rId10" Type="http://schemas.openxmlformats.org/officeDocument/2006/relationships/hyperlink" Target="https://nationalhighways.co.uk/media/enoh0bhu/performance-monitoring-statements-2019-20.xlsm" TargetMode="External"/><Relationship Id="rId4" Type="http://schemas.openxmlformats.org/officeDocument/2006/relationships/hyperlink" Target="https://www.transportfocus.org.uk/publication/strategic-roads-user-survey-2024-25/" TargetMode="External"/><Relationship Id="rId9" Type="http://schemas.openxmlformats.org/officeDocument/2006/relationships/hyperlink" Target="https://nationalhighways.co.uk/media/1sralyfr/2020-21-performance-monitoring-statements.xlsx" TargetMode="External"/><Relationship Id="rId14" Type="http://schemas.openxmlformats.org/officeDocument/2006/relationships/hyperlink" Target="https://nationalhighways.co.uk/media/hslebq5b/annual-regional-benchmarking-report-2023-2024-final.pdf" TargetMode="External"/></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0.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4"/>
  <sheetViews>
    <sheetView tabSelected="1" topLeftCell="A5" zoomScaleNormal="100" workbookViewId="0">
      <selection activeCell="A18" sqref="A18"/>
    </sheetView>
  </sheetViews>
  <sheetFormatPr defaultColWidth="9" defaultRowHeight="15.5"/>
  <cols>
    <col min="1" max="1" width="146.54296875" style="3" customWidth="1"/>
    <col min="2" max="2" width="9" style="3" customWidth="1"/>
    <col min="3" max="3" width="10.54296875" style="3" bestFit="1" customWidth="1"/>
    <col min="4" max="16384" width="9" style="3"/>
  </cols>
  <sheetData>
    <row r="1" spans="1:1" customFormat="1" ht="30" customHeight="1">
      <c r="A1" s="87" t="s">
        <v>0</v>
      </c>
    </row>
    <row r="2" spans="1:1" customFormat="1" ht="335.5" customHeight="1">
      <c r="A2" s="84" t="s">
        <v>1</v>
      </c>
    </row>
    <row r="3" spans="1:1" customFormat="1" ht="74.25" customHeight="1">
      <c r="A3" s="1" t="s">
        <v>2</v>
      </c>
    </row>
    <row r="4" spans="1:1" customFormat="1" ht="84" customHeight="1">
      <c r="A4" s="1" t="s">
        <v>3</v>
      </c>
    </row>
    <row r="5" spans="1:1" customFormat="1">
      <c r="A5" s="38" t="s">
        <v>4</v>
      </c>
    </row>
    <row r="6" spans="1:1" customFormat="1" ht="31">
      <c r="A6" s="1" t="s">
        <v>5</v>
      </c>
    </row>
    <row r="7" spans="1:1" customFormat="1">
      <c r="A7" s="1" t="s">
        <v>6</v>
      </c>
    </row>
    <row r="8" spans="1:1" customFormat="1">
      <c r="A8" s="32" t="s">
        <v>7</v>
      </c>
    </row>
    <row r="9" spans="1:1" customFormat="1" ht="18.5">
      <c r="A9" s="19" t="s">
        <v>8</v>
      </c>
    </row>
    <row r="10" spans="1:1" customFormat="1">
      <c r="A10" s="1" t="s">
        <v>9</v>
      </c>
    </row>
    <row r="11" spans="1:1" customFormat="1">
      <c r="A11" s="81" t="s">
        <v>10</v>
      </c>
    </row>
    <row r="12" spans="1:1" customFormat="1">
      <c r="A12" s="81" t="s">
        <v>11</v>
      </c>
    </row>
    <row r="13" spans="1:1" customFormat="1">
      <c r="A13" s="81" t="s">
        <v>12</v>
      </c>
    </row>
    <row r="14" spans="1:1" customFormat="1">
      <c r="A14" s="89" t="s">
        <v>13</v>
      </c>
    </row>
    <row r="15" spans="1:1" customFormat="1">
      <c r="A15" s="90" t="s">
        <v>14</v>
      </c>
    </row>
    <row r="16" spans="1:1" customFormat="1">
      <c r="A16" s="81" t="s">
        <v>15</v>
      </c>
    </row>
    <row r="17" spans="1:1" customFormat="1">
      <c r="A17" s="32" t="s">
        <v>150</v>
      </c>
    </row>
    <row r="18" spans="1:1" customFormat="1">
      <c r="A18" s="1" t="s">
        <v>16</v>
      </c>
    </row>
    <row r="19" spans="1:1" customFormat="1">
      <c r="A19" s="91" t="s">
        <v>17</v>
      </c>
    </row>
    <row r="20" spans="1:1" customFormat="1">
      <c r="A20" s="92" t="s">
        <v>18</v>
      </c>
    </row>
    <row r="21" spans="1:1" customFormat="1">
      <c r="A21" s="38" t="s">
        <v>19</v>
      </c>
    </row>
    <row r="22" spans="1:1" customFormat="1">
      <c r="A22" s="92" t="s">
        <v>20</v>
      </c>
    </row>
    <row r="23" spans="1:1" customFormat="1">
      <c r="A23" s="18" t="s">
        <v>21</v>
      </c>
    </row>
    <row r="24" spans="1:1" customFormat="1" ht="18.5">
      <c r="A24" s="24" t="s">
        <v>22</v>
      </c>
    </row>
    <row r="25" spans="1:1" customFormat="1">
      <c r="A25" s="25" t="s">
        <v>23</v>
      </c>
    </row>
    <row r="26" spans="1:1" customFormat="1" ht="18.5">
      <c r="A26" s="33" t="s">
        <v>24</v>
      </c>
    </row>
    <row r="27" spans="1:1" customFormat="1">
      <c r="A27" s="25" t="s">
        <v>25</v>
      </c>
    </row>
    <row r="28" spans="1:1" customFormat="1" ht="18.5">
      <c r="A28" s="33" t="s">
        <v>26</v>
      </c>
    </row>
    <row r="29" spans="1:1" customFormat="1">
      <c r="A29" s="25" t="s">
        <v>27</v>
      </c>
    </row>
    <row r="30" spans="1:1" customFormat="1" ht="18.5">
      <c r="A30" s="34" t="s">
        <v>28</v>
      </c>
    </row>
    <row r="31" spans="1:1" customFormat="1">
      <c r="A31" s="2" t="s">
        <v>29</v>
      </c>
    </row>
    <row r="32" spans="1:1" ht="18.5">
      <c r="A32" s="35" t="s">
        <v>30</v>
      </c>
    </row>
    <row r="33" spans="1:1">
      <c r="A33" s="12" t="s">
        <v>31</v>
      </c>
    </row>
    <row r="34" spans="1:1">
      <c r="A34" s="2" t="s">
        <v>32</v>
      </c>
    </row>
  </sheetData>
  <hyperlinks>
    <hyperlink ref="A8" r:id="rId1" xr:uid="{BD095FDF-4493-48B0-9A41-3F177E38C34C}"/>
    <hyperlink ref="A5" r:id="rId2" display="National Highway's roads" xr:uid="{FDFCEBC7-4FA0-4B6E-873E-DC42D7F6941E}"/>
    <hyperlink ref="A33" r:id="rId3" xr:uid="{891E9A97-DE31-4A27-8649-C830B8BF78A5}"/>
    <hyperlink ref="A17" r:id="rId4" xr:uid="{EDC49703-DF58-41A2-AAB5-3C413E7613A7}"/>
    <hyperlink ref="A11" r:id="rId5" xr:uid="{C345CD4D-8298-4655-BE34-950AF9ECD42C}"/>
    <hyperlink ref="A12" r:id="rId6" xr:uid="{AD724005-4462-4D63-8AE7-C254823B8534}"/>
    <hyperlink ref="A13" r:id="rId7" xr:uid="{6ADF17D2-9C0C-4340-89F3-A2829A649986}"/>
    <hyperlink ref="A14" r:id="rId8" xr:uid="{E4D9FF08-875D-4F8C-976B-5FC60D2FED3D}"/>
    <hyperlink ref="A15" r:id="rId9" xr:uid="{F0DC96A2-8412-4B06-A373-A459968E654F}"/>
    <hyperlink ref="A16" r:id="rId10" xr:uid="{C6B0A8B3-AF6D-41DC-9BA1-D0B55944C1CF}"/>
    <hyperlink ref="A22" r:id="rId11" xr:uid="{3E560618-9ECF-4940-A4DE-DDAA52C3A9A0}"/>
    <hyperlink ref="A21" r:id="rId12" xr:uid="{FB95905C-811B-4AFB-99A2-CF3C18CB7AB3}"/>
    <hyperlink ref="A20" r:id="rId13" xr:uid="{6167A05C-9A4B-4F2A-93B5-0996907638CD}"/>
    <hyperlink ref="A19" r:id="rId14" xr:uid="{57245F72-9656-4AD4-A341-2D08F3CB01DD}"/>
  </hyperlinks>
  <pageMargins left="0.70000000000000007" right="0.70000000000000007" top="0.75" bottom="0.75" header="0.30000000000000004" footer="0.30000000000000004"/>
  <pageSetup paperSize="9" fitToWidth="0" fitToHeight="0" orientation="portrait"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B7C2E-8F0F-4B9B-8412-0F8852513FDD}">
  <sheetPr codeName="Sheet10">
    <tabColor rgb="FFFFC000"/>
  </sheetPr>
  <dimension ref="A4:Y79"/>
  <sheetViews>
    <sheetView zoomScale="85" zoomScaleNormal="85" workbookViewId="0">
      <selection activeCell="A8" sqref="A8"/>
    </sheetView>
  </sheetViews>
  <sheetFormatPr defaultRowHeight="14.5"/>
  <cols>
    <col min="1" max="1" width="7.453125" bestFit="1" customWidth="1"/>
    <col min="2" max="2" width="24" bestFit="1" customWidth="1"/>
    <col min="3" max="3" width="11" bestFit="1" customWidth="1"/>
    <col min="4" max="4" width="9" bestFit="1" customWidth="1"/>
    <col min="5" max="5" width="4.81640625" bestFit="1" customWidth="1"/>
    <col min="6" max="6" width="10.1796875" bestFit="1" customWidth="1"/>
    <col min="7" max="7" width="11" bestFit="1" customWidth="1"/>
    <col min="8" max="8" width="17" bestFit="1" customWidth="1"/>
    <col min="10" max="10" width="7.453125" bestFit="1" customWidth="1"/>
    <col min="11" max="11" width="9" bestFit="1" customWidth="1"/>
    <col min="13" max="13" width="7.453125" bestFit="1" customWidth="1"/>
    <col min="14" max="14" width="28.453125" bestFit="1" customWidth="1"/>
    <col min="15" max="15" width="17" bestFit="1" customWidth="1"/>
    <col min="16" max="16" width="9" bestFit="1" customWidth="1"/>
    <col min="17" max="17" width="7.81640625" bestFit="1" customWidth="1"/>
    <col min="18" max="18" width="10.1796875" bestFit="1" customWidth="1"/>
    <col min="19" max="19" width="11" bestFit="1" customWidth="1"/>
    <col min="20" max="20" width="17" bestFit="1" customWidth="1"/>
    <col min="21" max="21" width="19.453125" bestFit="1" customWidth="1"/>
  </cols>
  <sheetData>
    <row r="4" spans="1:20">
      <c r="A4" s="40" t="s">
        <v>125</v>
      </c>
    </row>
    <row r="5" spans="1:20">
      <c r="A5" s="51" t="s">
        <v>111</v>
      </c>
      <c r="B5" t="s">
        <v>126</v>
      </c>
      <c r="D5" s="51" t="s">
        <v>111</v>
      </c>
      <c r="E5" t="s">
        <v>127</v>
      </c>
      <c r="G5" s="51" t="s">
        <v>111</v>
      </c>
      <c r="H5" t="s">
        <v>128</v>
      </c>
      <c r="J5" s="51" t="s">
        <v>111</v>
      </c>
      <c r="K5" t="s">
        <v>129</v>
      </c>
      <c r="M5" s="51" t="s">
        <v>111</v>
      </c>
      <c r="N5" t="s">
        <v>130</v>
      </c>
      <c r="P5" s="51" t="s">
        <v>111</v>
      </c>
      <c r="Q5" t="s">
        <v>131</v>
      </c>
      <c r="S5" s="51" t="s">
        <v>111</v>
      </c>
      <c r="T5" t="s">
        <v>132</v>
      </c>
    </row>
    <row r="6" spans="1:20">
      <c r="A6" s="41" t="s">
        <v>133</v>
      </c>
      <c r="B6" s="53">
        <v>89.3</v>
      </c>
      <c r="D6" s="41" t="s">
        <v>133</v>
      </c>
      <c r="E6" s="53">
        <v>86.09</v>
      </c>
      <c r="G6" s="41" t="s">
        <v>133</v>
      </c>
      <c r="H6" s="53">
        <v>83.54</v>
      </c>
      <c r="J6" s="41" t="s">
        <v>133</v>
      </c>
      <c r="K6" s="53">
        <v>89.05</v>
      </c>
      <c r="M6" s="41" t="s">
        <v>133</v>
      </c>
      <c r="N6" s="53">
        <v>91.75</v>
      </c>
      <c r="P6" s="41" t="s">
        <v>133</v>
      </c>
      <c r="Q6" s="53">
        <v>89.070000000000007</v>
      </c>
      <c r="S6" s="41" t="s">
        <v>133</v>
      </c>
      <c r="T6" s="53">
        <v>91.100000000000009</v>
      </c>
    </row>
    <row r="7" spans="1:20">
      <c r="A7" s="41" t="s">
        <v>134</v>
      </c>
      <c r="B7" s="53">
        <v>89.1</v>
      </c>
      <c r="D7" s="41" t="s">
        <v>134</v>
      </c>
      <c r="E7" s="53">
        <v>87.99</v>
      </c>
      <c r="G7" s="41" t="s">
        <v>134</v>
      </c>
      <c r="H7" s="53">
        <v>82.99</v>
      </c>
      <c r="J7" s="41" t="s">
        <v>134</v>
      </c>
      <c r="K7" s="53">
        <v>86.839999999999989</v>
      </c>
      <c r="M7" s="41" t="s">
        <v>134</v>
      </c>
      <c r="N7" s="53">
        <v>91.05</v>
      </c>
      <c r="P7" s="41" t="s">
        <v>134</v>
      </c>
      <c r="Q7" s="53">
        <v>88.460000000000008</v>
      </c>
      <c r="S7" s="41" t="s">
        <v>134</v>
      </c>
      <c r="T7" s="53">
        <v>90.83</v>
      </c>
    </row>
    <row r="8" spans="1:20">
      <c r="A8" s="41" t="s">
        <v>135</v>
      </c>
      <c r="B8" s="53">
        <v>88.7</v>
      </c>
      <c r="D8" s="41" t="s">
        <v>135</v>
      </c>
      <c r="E8" s="53">
        <v>88.3</v>
      </c>
      <c r="G8" s="41" t="s">
        <v>135</v>
      </c>
      <c r="H8" s="53">
        <v>77.900000000000006</v>
      </c>
      <c r="J8" s="41" t="s">
        <v>135</v>
      </c>
      <c r="K8" s="53">
        <v>88.6</v>
      </c>
      <c r="M8" s="41" t="s">
        <v>135</v>
      </c>
      <c r="N8" s="53">
        <v>90.3</v>
      </c>
      <c r="P8" s="41" t="s">
        <v>135</v>
      </c>
      <c r="Q8" s="53">
        <v>90.8</v>
      </c>
      <c r="S8" s="41" t="s">
        <v>135</v>
      </c>
      <c r="T8" s="53">
        <v>88.8</v>
      </c>
    </row>
    <row r="9" spans="1:20">
      <c r="A9" s="41" t="s">
        <v>136</v>
      </c>
      <c r="B9" s="53">
        <v>88.4</v>
      </c>
      <c r="D9" s="41" t="s">
        <v>136</v>
      </c>
      <c r="E9" s="53">
        <v>91.12</v>
      </c>
      <c r="G9" s="41" t="s">
        <v>136</v>
      </c>
      <c r="H9" s="53">
        <v>84</v>
      </c>
      <c r="J9" s="41" t="s">
        <v>136</v>
      </c>
      <c r="K9" s="53">
        <v>88.26</v>
      </c>
      <c r="M9" s="41" t="s">
        <v>136</v>
      </c>
      <c r="N9" s="53">
        <v>90.29</v>
      </c>
      <c r="P9" s="41" t="s">
        <v>136</v>
      </c>
      <c r="Q9" s="53">
        <v>86.429999999999993</v>
      </c>
      <c r="S9" s="41" t="s">
        <v>136</v>
      </c>
      <c r="T9" s="53">
        <v>88.83</v>
      </c>
    </row>
    <row r="10" spans="1:20">
      <c r="A10" s="41" t="s">
        <v>137</v>
      </c>
      <c r="B10" s="53">
        <v>89.2</v>
      </c>
      <c r="D10" s="41" t="s">
        <v>137</v>
      </c>
      <c r="E10" s="53">
        <v>92.63</v>
      </c>
      <c r="G10" s="41" t="s">
        <v>137</v>
      </c>
      <c r="H10" s="53">
        <v>85.22</v>
      </c>
      <c r="J10" s="41" t="s">
        <v>137</v>
      </c>
      <c r="K10" s="53">
        <v>89.89</v>
      </c>
      <c r="M10" s="41" t="s">
        <v>137</v>
      </c>
      <c r="N10" s="53">
        <v>88.160000000000011</v>
      </c>
      <c r="P10" s="41" t="s">
        <v>137</v>
      </c>
      <c r="Q10" s="53">
        <v>88.69</v>
      </c>
      <c r="S10" s="41" t="s">
        <v>137</v>
      </c>
      <c r="T10" s="53">
        <v>88.17</v>
      </c>
    </row>
    <row r="11" spans="1:20">
      <c r="A11" s="41" t="s">
        <v>138</v>
      </c>
      <c r="B11" s="53">
        <v>73</v>
      </c>
      <c r="D11" s="41" t="s">
        <v>138</v>
      </c>
      <c r="E11" s="53">
        <v>72.900000000000006</v>
      </c>
      <c r="G11" s="41" t="s">
        <v>138</v>
      </c>
      <c r="H11" s="53">
        <v>69.599999999999994</v>
      </c>
      <c r="J11" s="41" t="s">
        <v>138</v>
      </c>
      <c r="K11" s="53">
        <v>72.7</v>
      </c>
      <c r="M11" s="41" t="s">
        <v>138</v>
      </c>
      <c r="N11" s="53">
        <v>72.2</v>
      </c>
      <c r="P11" s="41" t="s">
        <v>138</v>
      </c>
      <c r="Q11" s="53">
        <v>71.5</v>
      </c>
      <c r="S11" s="41" t="s">
        <v>138</v>
      </c>
      <c r="T11" s="53">
        <v>80.2</v>
      </c>
    </row>
    <row r="12" spans="1:20">
      <c r="A12" s="41" t="s">
        <v>139</v>
      </c>
      <c r="B12" s="53">
        <v>71</v>
      </c>
      <c r="D12" s="41" t="s">
        <v>139</v>
      </c>
      <c r="E12" s="53">
        <v>0</v>
      </c>
      <c r="G12" s="41" t="s">
        <v>139</v>
      </c>
      <c r="H12" s="53">
        <v>0</v>
      </c>
      <c r="J12" s="41" t="s">
        <v>139</v>
      </c>
      <c r="K12" s="53">
        <v>0</v>
      </c>
      <c r="M12" s="41" t="s">
        <v>139</v>
      </c>
      <c r="N12" s="53">
        <v>0</v>
      </c>
      <c r="P12" s="41" t="s">
        <v>139</v>
      </c>
      <c r="Q12" s="53">
        <v>0</v>
      </c>
      <c r="S12" s="41" t="s">
        <v>139</v>
      </c>
      <c r="T12" s="53">
        <v>0</v>
      </c>
    </row>
    <row r="13" spans="1:20" hidden="1"/>
    <row r="14" spans="1:20" hidden="1"/>
    <row r="15" spans="1:20" hidden="1"/>
    <row r="16" spans="1:20" hidden="1"/>
    <row r="17" spans="1:1" hidden="1"/>
    <row r="18" spans="1:1" hidden="1"/>
    <row r="19" spans="1:1" hidden="1"/>
    <row r="23" spans="1:1">
      <c r="A23" s="42" t="str">
        <f>IF(B40="Road user satisfaction","The percentage of drivers who are satisfied with their journey on the strategic road network as measured by the
Strategic Roads User Survey (SRUS) conducted by Transport Focus (KPI).",IF(B40="Roadworks information timeliness and accuracy","The percentage of overnight road closures that are accurately notified by Highways England seven days in advance (KPI).",IF(B40="Timeliness of information provided to road users through electronic signage","The average median time to set signs and signals on (all) motorways after National Highways has received
notification of an incident, that requires signs and signals to be manually set (PI).",IF(B40="Ride Quality","The percentage of pavement asset delivering ride quality based on engineering factors and driver comfort (PI).",IF(B40="Working with local highways authorities to review diversion routes for unplanned events","The percentage of local highway authorities which National Highways engaged with to review diversion routes for unplanned events (PI).")))))</f>
        <v>The percentage of drivers who are satisfied with their journey on the strategic road network as measured by the
Strategic Roads User Survey (SRUS) conducted by Transport Focus (KPI).</v>
      </c>
    </row>
    <row r="24" spans="1:1">
      <c r="A24" s="42" t="str">
        <f>IF(B40="Road user satisfaction","National-level target for road period 2: Currently suspended.",IF(B40="Roadworks information timeliness and accuracy","National-level target for road period 2: 90% by the end of 2025.",""))</f>
        <v>National-level target for road period 2: Currently suspended.</v>
      </c>
    </row>
    <row r="25" spans="1:1">
      <c r="A25" s="42" t="str">
        <f>IF(B40="Road user satisfaction","Measure: Percentage. ***Target suspended. Replaced by SRUS in road period 2. See notes 2 and 6.",IF(B40="Roadworks information timeliness and accuracy","Measure: Percentage.",IF(B40="Timeliness of information provided to road users through electronic signage","Measure: Minutes / Seconds",IF(B40="Ride Quality","Measure: Percentage.",IF(B40="Working with local highways authorities to review diversion routes for unplanned events","Measure: Percentage.")))))</f>
        <v>Measure: Percentage. ***Target suspended. Replaced by SRUS in road period 2. See notes 2 and 6.</v>
      </c>
    </row>
    <row r="26" spans="1:1">
      <c r="A26" s="42" t="str">
        <f>IF(B40="Timeliness of information provided to road users through electronic signage","minutes","percentage points")</f>
        <v>percentage points</v>
      </c>
    </row>
    <row r="27" spans="1:1">
      <c r="A27" t="str">
        <f>IF(B79=0,"",_xlfn.CONCAT(""&amp;B79&amp;" out of 6 regions scored 100%"))</f>
        <v/>
      </c>
    </row>
    <row r="40" spans="1:20">
      <c r="A40" s="51" t="s">
        <v>112</v>
      </c>
      <c r="B40" t="s">
        <v>120</v>
      </c>
      <c r="M40" s="51" t="s">
        <v>112</v>
      </c>
      <c r="N40" t="s">
        <v>120</v>
      </c>
    </row>
    <row r="42" spans="1:20">
      <c r="A42" s="51" t="s">
        <v>111</v>
      </c>
      <c r="B42" t="s">
        <v>127</v>
      </c>
      <c r="C42" t="s">
        <v>128</v>
      </c>
      <c r="D42" t="s">
        <v>129</v>
      </c>
      <c r="E42" t="s">
        <v>130</v>
      </c>
      <c r="F42" t="s">
        <v>131</v>
      </c>
      <c r="G42" t="s">
        <v>132</v>
      </c>
      <c r="H42" t="s">
        <v>126</v>
      </c>
      <c r="J42" s="20"/>
      <c r="M42" s="51" t="s">
        <v>111</v>
      </c>
      <c r="N42" t="s">
        <v>140</v>
      </c>
      <c r="O42" t="s">
        <v>141</v>
      </c>
      <c r="P42" t="s">
        <v>129</v>
      </c>
      <c r="Q42" t="s">
        <v>130</v>
      </c>
      <c r="R42" t="s">
        <v>131</v>
      </c>
      <c r="S42" t="s">
        <v>132</v>
      </c>
      <c r="T42" t="s">
        <v>126</v>
      </c>
    </row>
    <row r="43" spans="1:20">
      <c r="A43" s="41" t="s">
        <v>133</v>
      </c>
      <c r="B43" s="53">
        <v>86.09</v>
      </c>
      <c r="C43" s="53">
        <v>83.54</v>
      </c>
      <c r="D43" s="53">
        <v>89.05</v>
      </c>
      <c r="E43" s="53">
        <v>91.75</v>
      </c>
      <c r="F43" s="53">
        <v>89.070000000000007</v>
      </c>
      <c r="G43" s="53">
        <v>91.100000000000009</v>
      </c>
      <c r="H43" s="53">
        <v>89.3</v>
      </c>
      <c r="M43" s="41" t="s">
        <v>133</v>
      </c>
      <c r="N43" s="20">
        <v>86.09</v>
      </c>
      <c r="O43" s="20">
        <v>83.54</v>
      </c>
      <c r="P43" s="20">
        <v>89.05</v>
      </c>
      <c r="Q43" s="20">
        <v>91.75</v>
      </c>
      <c r="R43" s="20">
        <v>89.070000000000007</v>
      </c>
      <c r="S43" s="20">
        <v>91.100000000000009</v>
      </c>
      <c r="T43" s="20">
        <v>89.3</v>
      </c>
    </row>
    <row r="44" spans="1:20">
      <c r="A44" s="41" t="s">
        <v>134</v>
      </c>
      <c r="B44" s="53">
        <v>87.99</v>
      </c>
      <c r="C44" s="53">
        <v>82.99</v>
      </c>
      <c r="D44" s="53">
        <v>86.839999999999989</v>
      </c>
      <c r="E44" s="53">
        <v>91.05</v>
      </c>
      <c r="F44" s="53">
        <v>88.460000000000008</v>
      </c>
      <c r="G44" s="53">
        <v>90.83</v>
      </c>
      <c r="H44" s="53">
        <v>89.1</v>
      </c>
      <c r="M44" s="41" t="s">
        <v>134</v>
      </c>
      <c r="N44" s="20">
        <v>87.99</v>
      </c>
      <c r="O44" s="20">
        <v>82.99</v>
      </c>
      <c r="P44" s="20">
        <v>86.839999999999989</v>
      </c>
      <c r="Q44" s="20">
        <v>91.05</v>
      </c>
      <c r="R44" s="20">
        <v>88.460000000000008</v>
      </c>
      <c r="S44" s="20">
        <v>90.83</v>
      </c>
      <c r="T44" s="20">
        <v>89.1</v>
      </c>
    </row>
    <row r="45" spans="1:20">
      <c r="A45" s="41" t="s">
        <v>135</v>
      </c>
      <c r="B45" s="53">
        <v>88.3</v>
      </c>
      <c r="C45" s="53">
        <v>77.900000000000006</v>
      </c>
      <c r="D45" s="53">
        <v>88.6</v>
      </c>
      <c r="E45" s="53">
        <v>90.3</v>
      </c>
      <c r="F45" s="53">
        <v>90.8</v>
      </c>
      <c r="G45" s="53">
        <v>88.8</v>
      </c>
      <c r="H45" s="53">
        <v>88.7</v>
      </c>
      <c r="M45" s="41" t="s">
        <v>135</v>
      </c>
      <c r="N45" s="20">
        <v>88.3</v>
      </c>
      <c r="O45" s="20">
        <v>77.900000000000006</v>
      </c>
      <c r="P45" s="20">
        <v>88.6</v>
      </c>
      <c r="Q45" s="20">
        <v>90.3</v>
      </c>
      <c r="R45" s="20">
        <v>90.8</v>
      </c>
      <c r="S45" s="20">
        <v>88.8</v>
      </c>
      <c r="T45" s="20">
        <v>88.7</v>
      </c>
    </row>
    <row r="46" spans="1:20">
      <c r="A46" s="41" t="s">
        <v>136</v>
      </c>
      <c r="B46" s="53">
        <v>91.12</v>
      </c>
      <c r="C46" s="53">
        <v>84</v>
      </c>
      <c r="D46" s="53">
        <v>88.26</v>
      </c>
      <c r="E46" s="53">
        <v>90.29</v>
      </c>
      <c r="F46" s="53">
        <v>86.429999999999993</v>
      </c>
      <c r="G46" s="53">
        <v>88.83</v>
      </c>
      <c r="H46" s="53">
        <v>88.4</v>
      </c>
      <c r="M46" s="41" t="s">
        <v>136</v>
      </c>
      <c r="N46" s="20">
        <v>91.12</v>
      </c>
      <c r="O46" s="20">
        <v>84</v>
      </c>
      <c r="P46" s="20">
        <v>88.26</v>
      </c>
      <c r="Q46" s="20">
        <v>90.29</v>
      </c>
      <c r="R46" s="20">
        <v>86.429999999999993</v>
      </c>
      <c r="S46" s="20">
        <v>88.83</v>
      </c>
      <c r="T46" s="20">
        <v>88.4</v>
      </c>
    </row>
    <row r="47" spans="1:20">
      <c r="A47" s="41" t="s">
        <v>137</v>
      </c>
      <c r="B47" s="53">
        <v>92.63</v>
      </c>
      <c r="C47" s="53">
        <v>85.22</v>
      </c>
      <c r="D47" s="53">
        <v>89.89</v>
      </c>
      <c r="E47" s="53">
        <v>88.160000000000011</v>
      </c>
      <c r="F47" s="53">
        <v>88.69</v>
      </c>
      <c r="G47" s="53">
        <v>88.17</v>
      </c>
      <c r="H47" s="53">
        <v>89.2</v>
      </c>
      <c r="M47" s="41" t="s">
        <v>137</v>
      </c>
      <c r="N47" s="20">
        <v>92.63</v>
      </c>
      <c r="O47" s="20">
        <v>85.22</v>
      </c>
      <c r="P47" s="20">
        <v>89.89</v>
      </c>
      <c r="Q47" s="20">
        <v>88.160000000000011</v>
      </c>
      <c r="R47" s="20">
        <v>88.69</v>
      </c>
      <c r="S47" s="20">
        <v>88.17</v>
      </c>
      <c r="T47" s="20">
        <v>89.2</v>
      </c>
    </row>
    <row r="48" spans="1:20">
      <c r="A48" s="41" t="s">
        <v>138</v>
      </c>
      <c r="B48" s="53">
        <v>72.900000000000006</v>
      </c>
      <c r="C48" s="53">
        <v>69.599999999999994</v>
      </c>
      <c r="D48" s="53">
        <v>72.7</v>
      </c>
      <c r="E48" s="53">
        <v>72.2</v>
      </c>
      <c r="F48" s="53">
        <v>71.5</v>
      </c>
      <c r="G48" s="53">
        <v>80.2</v>
      </c>
      <c r="H48" s="53">
        <v>73</v>
      </c>
      <c r="M48" s="41" t="s">
        <v>138</v>
      </c>
      <c r="N48" s="20">
        <v>72.900000000000006</v>
      </c>
      <c r="O48" s="20">
        <v>69.599999999999994</v>
      </c>
      <c r="P48" s="20">
        <v>72.7</v>
      </c>
      <c r="Q48" s="20">
        <v>72.2</v>
      </c>
      <c r="R48" s="20">
        <v>71.5</v>
      </c>
      <c r="S48" s="20">
        <v>80.2</v>
      </c>
      <c r="T48" s="20">
        <v>73</v>
      </c>
    </row>
    <row r="49" spans="1:25">
      <c r="A49" s="41" t="s">
        <v>139</v>
      </c>
      <c r="B49" s="53">
        <v>0</v>
      </c>
      <c r="C49" s="53">
        <v>0</v>
      </c>
      <c r="D49" s="53">
        <v>0</v>
      </c>
      <c r="E49" s="53">
        <v>0</v>
      </c>
      <c r="F49" s="53">
        <v>0</v>
      </c>
      <c r="G49" s="53">
        <v>0</v>
      </c>
      <c r="H49" s="53">
        <v>71</v>
      </c>
      <c r="K49" s="43"/>
      <c r="M49" s="41" t="s">
        <v>139</v>
      </c>
      <c r="N49" s="20">
        <v>0</v>
      </c>
      <c r="O49" s="20">
        <v>0</v>
      </c>
      <c r="P49" s="20">
        <v>0</v>
      </c>
      <c r="Q49" s="20">
        <v>0</v>
      </c>
      <c r="R49" s="20">
        <v>0</v>
      </c>
      <c r="S49" s="20">
        <v>0</v>
      </c>
      <c r="T49" s="20">
        <v>71</v>
      </c>
    </row>
    <row r="58" spans="1:25" ht="15" thickBot="1">
      <c r="I58" t="s">
        <v>142</v>
      </c>
    </row>
    <row r="59" spans="1:25" ht="15" thickBot="1">
      <c r="A59" s="44" t="str">
        <f>INDEX(A43:A58,MATCH("*",A43:A58,-1))</f>
        <v>2023-24</v>
      </c>
      <c r="B59" s="45">
        <f>VLOOKUP(A59,$A$43:$H$58,2)</f>
        <v>0</v>
      </c>
      <c r="C59" s="45">
        <f>VLOOKUP(A59,$A$43:$H$58,3)</f>
        <v>0</v>
      </c>
      <c r="D59" s="45">
        <f>VLOOKUP(A59,$A$43:$H$58,4)</f>
        <v>0</v>
      </c>
      <c r="E59" s="45">
        <f>VLOOKUP(A59,$A$43:$H$58,5)</f>
        <v>0</v>
      </c>
      <c r="F59" s="45">
        <f>VLOOKUP(A59,$A$43:$H$58,6)</f>
        <v>0</v>
      </c>
      <c r="G59" s="45">
        <f>VLOOKUP(A59,$A$43:$H$58,7)</f>
        <v>0</v>
      </c>
      <c r="H59" s="46">
        <f>VLOOKUP(A59,$A$43:$H$58,8)</f>
        <v>71</v>
      </c>
      <c r="I59" s="47" t="s">
        <v>143</v>
      </c>
      <c r="M59" s="44" t="str">
        <f>INDEX(M43:M58,MATCH("*",M43:M58,-1))</f>
        <v>2023-24</v>
      </c>
      <c r="N59" s="82">
        <f>VLOOKUP($M$59,$M$43:$T$58,2)</f>
        <v>0</v>
      </c>
      <c r="O59" s="82">
        <f>VLOOKUP($M$59,$M$43:$T$58,3)</f>
        <v>0</v>
      </c>
      <c r="P59" s="82">
        <f>VLOOKUP($M$59,$M$43:$T$58,4)</f>
        <v>0</v>
      </c>
      <c r="Q59" s="82">
        <f>VLOOKUP($M$59,$M$43:$T$58,5)</f>
        <v>0</v>
      </c>
      <c r="R59" s="82">
        <f>VLOOKUP($M$59,$M$43:$T$58,6)</f>
        <v>0</v>
      </c>
      <c r="S59" s="82">
        <f>VLOOKUP($M$59,$M$43:$T$58,7)</f>
        <v>0</v>
      </c>
      <c r="T59" s="82">
        <f>VLOOKUP($M$59,$M$43:$T$58,8)</f>
        <v>71</v>
      </c>
      <c r="U59" s="47" t="s">
        <v>143</v>
      </c>
    </row>
    <row r="61" spans="1:25">
      <c r="E61" t="s">
        <v>144</v>
      </c>
      <c r="Q61" t="s">
        <v>144</v>
      </c>
    </row>
    <row r="62" spans="1:25">
      <c r="A62" t="s">
        <v>145</v>
      </c>
      <c r="B62" s="48" t="str">
        <f>IFERROR(IF(B40="Timeliness of information provided to road users through electronic signage", IF(MAX(N59:S59)=0,"",MAX(N59:S59)),IF(MAX(B59:G59)=0,"",MAX(B59:G59))),"")</f>
        <v/>
      </c>
      <c r="E62" s="49" t="e">
        <f>(B62-$H$59)</f>
        <v>#VALUE!</v>
      </c>
      <c r="F62" t="e">
        <f>IF(E62&gt;0,"performed better by ","score was lower by ")</f>
        <v>#VALUE!</v>
      </c>
      <c r="H62" t="s">
        <v>146</v>
      </c>
      <c r="I62" s="49" t="e">
        <f>ABS(E62)</f>
        <v>#VALUE!</v>
      </c>
      <c r="K62" t="e">
        <f>TEXT(I62,"0.0")&amp;" "&amp;A26</f>
        <v>#VALUE!</v>
      </c>
      <c r="M62" t="e">
        <f>TEXT(I62,"mm.ss")&amp;" "&amp;A26</f>
        <v>#VALUE!</v>
      </c>
      <c r="N62" t="s">
        <v>145</v>
      </c>
      <c r="O62" s="20">
        <f>MAX(N59:S59)</f>
        <v>0</v>
      </c>
      <c r="Q62" s="83">
        <f>(O62-$T$59)</f>
        <v>-71</v>
      </c>
      <c r="R62" t="str">
        <f>IF(Q62&gt;0,"performed better by ","score was lower by ")</f>
        <v xml:space="preserve">score was lower by </v>
      </c>
      <c r="T62" t="s">
        <v>146</v>
      </c>
      <c r="U62" s="83">
        <f>ABS(Q62)</f>
        <v>71</v>
      </c>
      <c r="W62" t="str">
        <f>TEXT(U62,"0.0")&amp;" "&amp;M26</f>
        <v xml:space="preserve">71.0 </v>
      </c>
      <c r="Y62" s="20" t="str">
        <f>TEXT(U62,"mm:ss")&amp;" "&amp;A26</f>
        <v>00:00 percentage points</v>
      </c>
    </row>
    <row r="63" spans="1:25">
      <c r="A63" t="s">
        <v>147</v>
      </c>
      <c r="B63" s="48" t="str">
        <f>IFERROR(IF(B62="","",MIN(B59:G59)),"")</f>
        <v/>
      </c>
      <c r="E63" s="49" t="e">
        <f>(B63-$H$59)</f>
        <v>#VALUE!</v>
      </c>
      <c r="F63" t="e">
        <f>IF(E63&gt;0,"performed better by","performed worse by ")</f>
        <v>#VALUE!</v>
      </c>
      <c r="H63" s="50" t="s">
        <v>146</v>
      </c>
      <c r="I63" s="49" t="e">
        <f>ABS(E63)</f>
        <v>#VALUE!</v>
      </c>
      <c r="K63" t="e">
        <f>TEXT(I63,"0.0")&amp;" "&amp;A26</f>
        <v>#VALUE!</v>
      </c>
      <c r="M63" t="e">
        <f>TEXT(I63,"mm.ss")&amp;" "&amp;A26</f>
        <v>#VALUE!</v>
      </c>
      <c r="N63" t="s">
        <v>147</v>
      </c>
      <c r="O63" s="20">
        <f>MIN(N59:S59)</f>
        <v>0</v>
      </c>
      <c r="Q63" s="83">
        <f>(O63-$T$59)</f>
        <v>-71</v>
      </c>
      <c r="R63" t="str">
        <f>IF(Q63&gt;0,"performed better by","performed worse by ")</f>
        <v xml:space="preserve">performed worse by </v>
      </c>
      <c r="T63" s="50" t="s">
        <v>146</v>
      </c>
      <c r="U63" s="83">
        <f>ABS(Q63)</f>
        <v>71</v>
      </c>
      <c r="W63" t="str">
        <f>TEXT(U63,"0.0")&amp;" "&amp;M26</f>
        <v xml:space="preserve">71.0 </v>
      </c>
      <c r="Y63" s="20" t="str">
        <f>TEXT(U63,"mm:ss")&amp;" "&amp;A26</f>
        <v>00:00 percentage points</v>
      </c>
    </row>
    <row r="64" spans="1:25">
      <c r="C64" s="48"/>
    </row>
    <row r="65" spans="1:21">
      <c r="A65" t="s">
        <v>145</v>
      </c>
      <c r="B65" s="86" t="str" cm="1">
        <f t="array" ref="B65">IFERROR(IF(B62,INDEX($B$42:$G$42,SUMPRODUCT(MAX(($B$42:$G$58=B62)*(COLUMN($B$42:$G$58))))-COLUMN($B$42)+1),""),"")</f>
        <v/>
      </c>
      <c r="E65" s="48" t="e">
        <f>B62-$H$59</f>
        <v>#VALUE!</v>
      </c>
      <c r="F65" t="e">
        <f>IF(E65&gt;0," was higher by "," was lower by ")</f>
        <v>#VALUE!</v>
      </c>
      <c r="H65" t="s">
        <v>146</v>
      </c>
      <c r="I65" s="49" t="e">
        <f>ABS(E65)</f>
        <v>#VALUE!</v>
      </c>
      <c r="N65" t="s">
        <v>145</v>
      </c>
      <c r="O65" t="str">
        <f>IF(SUM(N59:S59)&gt;0,IFERROR(INDEX(B42:G42,MATCH(O62,N59:S59,0)),""),"Regional data is not available.")</f>
        <v>Regional data is not available.</v>
      </c>
      <c r="Q65" s="20">
        <f>O62-$T$59</f>
        <v>-71</v>
      </c>
      <c r="R65" t="str">
        <f>IF(Q65&gt;0," was higher by "," was lower by ")</f>
        <v xml:space="preserve"> was lower by </v>
      </c>
      <c r="T65" t="s">
        <v>146</v>
      </c>
      <c r="U65" s="83">
        <f>ABS(Q65)</f>
        <v>71</v>
      </c>
    </row>
    <row r="66" spans="1:21">
      <c r="A66" t="s">
        <v>147</v>
      </c>
      <c r="B66" s="86" t="str" cm="1">
        <f t="array" ref="B66">IFERROR(IF(B63,INDEX($B$42:$G$42,SUMPRODUCT(MAX(($B$42:$G$58=B63)*(COLUMN($B$42:$G$58))))-COLUMN($B$42)+1),""),"")</f>
        <v/>
      </c>
      <c r="E66" s="48" t="e">
        <f>B63-$H$59</f>
        <v>#VALUE!</v>
      </c>
      <c r="F66" t="e">
        <f>IF(E66&gt;0," was higher by "," was lower by ")</f>
        <v>#VALUE!</v>
      </c>
      <c r="H66" s="50" t="s">
        <v>146</v>
      </c>
      <c r="I66" s="49" t="e">
        <f>ABS(E66)</f>
        <v>#VALUE!</v>
      </c>
      <c r="N66" t="s">
        <v>147</v>
      </c>
      <c r="O66" t="str">
        <f>IF(SUM(N59:S59)&gt;0,IFERROR(INDEX(B42:G42,MATCH(O63,N59:S59,0)),""),"Regional data is not available")</f>
        <v>Regional data is not available</v>
      </c>
      <c r="Q66" s="20">
        <f>O63-$T$59</f>
        <v>-71</v>
      </c>
      <c r="R66" t="str">
        <f>IF(Q66&gt;0," was higher by "," was lower by ")</f>
        <v xml:space="preserve"> was lower by </v>
      </c>
      <c r="T66" s="50" t="s">
        <v>146</v>
      </c>
      <c r="U66" s="83">
        <f>ABS(Q66)</f>
        <v>71</v>
      </c>
    </row>
    <row r="68" spans="1:21">
      <c r="A68" t="s">
        <v>148</v>
      </c>
      <c r="B68" t="str">
        <f>IF(B40="Air Quality",B66,IF(B40="Timeliness of information provided to road users through electronic signage",O66,IF(B40="Working with local highways authorities to review diversion routes for unplanned events",A27,B65)))</f>
        <v/>
      </c>
    </row>
    <row r="69" spans="1:21">
      <c r="A69" t="s">
        <v>149</v>
      </c>
      <c r="B69" t="str">
        <f>IF(B40="Air Quality",B65,IF(B40="Timeliness of information provided to road users through electronic signage",O65,B66))</f>
        <v/>
      </c>
    </row>
    <row r="72" spans="1:21">
      <c r="A72" t="str">
        <f>IF(AND(B40="Timeliness of information provided to road users through electronic signage",SUM(N59:S59)&gt;0),A75,IF(B40="Working with local highways authorities to review diversion routes for unplanned events",A76,A74))</f>
        <v>Note: Data only available at a national level.</v>
      </c>
    </row>
    <row r="73" spans="1:21">
      <c r="A73" s="65" t="str">
        <f>IFERROR("Compared to the average for the SRN as a whole, the"&amp;B65&amp;" "&amp;F62&amp;M62&amp;" while the"&amp;B66&amp;" "&amp;F63&amp;M63,"Note: Data only available at a national level.")</f>
        <v>Note: Data only available at a national level.</v>
      </c>
    </row>
    <row r="74" spans="1:21">
      <c r="A74" s="65" t="str">
        <f>IFERROR("Compared to the average for the SRN as a whole, the"&amp;B65&amp;" "&amp;F62&amp;K62&amp;" while the"&amp;B66&amp;" "&amp;F63&amp;K63,"Note: Data only available at a national level.")</f>
        <v>Note: Data only available at a national level.</v>
      </c>
    </row>
    <row r="75" spans="1:21">
      <c r="A75" s="65" t="str">
        <f>IFERROR("Compared to the average for the SRN as a whole, the"&amp;O66&amp;" "&amp;R62&amp;Y63&amp;" while the"&amp;O65&amp;" "&amp;R63&amp;Y62,"Note: Data only available at a national level.")</f>
        <v>Compared to the average for the SRN as a whole, theRegional data is not available score was lower by 00:00 percentage points while theRegional data is not available. performed worse by 00:00 percentage points</v>
      </c>
    </row>
    <row r="76" spans="1:21">
      <c r="A76" s="65" t="str">
        <f>IFERROR("Compared to the average for the SRN as a whole, the"&amp;B66&amp;" "&amp;F63&amp;K63,"Note: Data only available at a national level.")</f>
        <v>Note: Data only available at a national level.</v>
      </c>
    </row>
    <row r="79" spans="1:21">
      <c r="B79">
        <f>COUNTIF(B59:G59,"=100")</f>
        <v>0</v>
      </c>
    </row>
  </sheetData>
  <conditionalFormatting pivot="1">
    <cfRule type="expression" dxfId="26" priority="14">
      <formula>$B$40="Timeliness of information provided to road users through electronic signage"</formula>
    </cfRule>
  </conditionalFormatting>
  <conditionalFormatting pivot="1">
    <cfRule type="expression" dxfId="25" priority="13">
      <formula>$B$40="Timeliness of information provided to road users through electronic signage"</formula>
    </cfRule>
  </conditionalFormatting>
  <conditionalFormatting pivot="1">
    <cfRule type="expression" dxfId="24" priority="12">
      <formula>$B$40="Timeliness of information provided to road users through electronic signage"</formula>
    </cfRule>
  </conditionalFormatting>
  <conditionalFormatting pivot="1">
    <cfRule type="expression" dxfId="23" priority="11">
      <formula>$B$40="Timeliness of information provided to road users through electronic signage"</formula>
    </cfRule>
  </conditionalFormatting>
  <conditionalFormatting pivot="1">
    <cfRule type="expression" dxfId="22" priority="10">
      <formula>$B$40="Timeliness of information provided to road users through electronic signage"</formula>
    </cfRule>
  </conditionalFormatting>
  <conditionalFormatting pivot="1">
    <cfRule type="expression" dxfId="21" priority="9">
      <formula>$B$40="Timeliness of information provided to road users through electronic signage"</formula>
    </cfRule>
  </conditionalFormatting>
  <conditionalFormatting pivot="1">
    <cfRule type="expression" dxfId="20" priority="8">
      <formula>$B$40="Timeliness of information provided to road users through electronic signage"</formula>
    </cfRule>
  </conditionalFormatting>
  <conditionalFormatting pivot="1">
    <cfRule type="expression" dxfId="19" priority="7">
      <formula>$B$40="Timeliness of information provided to road users through electronic signage"</formula>
    </cfRule>
  </conditionalFormatting>
  <conditionalFormatting pivot="1">
    <cfRule type="expression" dxfId="18" priority="6">
      <formula>$B$40="Timeliness of information provided to road users through electronic signage"</formula>
    </cfRule>
  </conditionalFormatting>
  <conditionalFormatting pivot="1">
    <cfRule type="expression" dxfId="17" priority="5">
      <formula>$B$40="Timeliness of information provided to road users through electronic signage"</formula>
    </cfRule>
  </conditionalFormatting>
  <conditionalFormatting pivot="1">
    <cfRule type="expression" dxfId="16" priority="4">
      <formula>$B$40="Timeliness of information provided to road users through electronic signage"</formula>
    </cfRule>
  </conditionalFormatting>
  <conditionalFormatting pivot="1">
    <cfRule type="expression" dxfId="15" priority="3">
      <formula>$B$40="Timeliness of information provided to road users through electronic signage"</formula>
    </cfRule>
  </conditionalFormatting>
  <conditionalFormatting pivot="1">
    <cfRule type="expression" dxfId="14" priority="2">
      <formula>$B$40="Timeliness of information provided to road users through electronic signage"</formula>
    </cfRule>
  </conditionalFormatting>
  <conditionalFormatting pivot="1">
    <cfRule type="expression" dxfId="13" priority="1">
      <formula>$B$40="Timeliness of information provided to road users through electronic signage"</formula>
    </cfRule>
  </conditionalFormatting>
  <pageMargins left="0.7" right="0.7" top="0.75" bottom="0.75" header="0.3" footer="0.3"/>
  <pageSetup paperSize="9" orientation="portrait" r:id="rId10"/>
  <drawing r:id="rId11"/>
  <extLst>
    <ext xmlns:x14="http://schemas.microsoft.com/office/spreadsheetml/2009/9/main" uri="{A8765BA9-456A-4dab-B4F3-ACF838C121DE}">
      <x14:slicerList>
        <x14:slicer r:id="rId1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8"/>
  <sheetViews>
    <sheetView zoomScaleNormal="100" workbookViewId="0"/>
  </sheetViews>
  <sheetFormatPr defaultRowHeight="14.5"/>
  <cols>
    <col min="1" max="1" width="16.453125" customWidth="1"/>
    <col min="2" max="2" width="100.54296875" customWidth="1"/>
    <col min="3" max="3" width="9" customWidth="1"/>
  </cols>
  <sheetData>
    <row r="1" spans="1:2" ht="23.5">
      <c r="A1" s="4" t="s">
        <v>33</v>
      </c>
      <c r="B1" s="14"/>
    </row>
    <row r="2" spans="1:2" ht="15.5">
      <c r="A2" s="3" t="s">
        <v>34</v>
      </c>
      <c r="B2" s="5"/>
    </row>
    <row r="3" spans="1:2" ht="15.5">
      <c r="A3" s="6" t="s">
        <v>35</v>
      </c>
      <c r="B3" s="7" t="s">
        <v>36</v>
      </c>
    </row>
    <row r="4" spans="1:2" ht="15.5">
      <c r="A4" s="26" t="s">
        <v>37</v>
      </c>
      <c r="B4" s="2" t="s">
        <v>38</v>
      </c>
    </row>
    <row r="5" spans="1:2" ht="46.5">
      <c r="A5" s="26" t="s">
        <v>39</v>
      </c>
      <c r="B5" s="2" t="s">
        <v>40</v>
      </c>
    </row>
    <row r="6" spans="1:2" ht="31">
      <c r="A6" s="26" t="s">
        <v>41</v>
      </c>
      <c r="B6" s="2" t="s">
        <v>42</v>
      </c>
    </row>
    <row r="7" spans="1:2" ht="31">
      <c r="A7" s="27" t="s">
        <v>43</v>
      </c>
      <c r="B7" s="2" t="s">
        <v>44</v>
      </c>
    </row>
    <row r="8" spans="1:2" ht="31">
      <c r="A8" s="27" t="s">
        <v>45</v>
      </c>
      <c r="B8" s="2" t="s">
        <v>46</v>
      </c>
    </row>
  </sheetData>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8"/>
  <sheetViews>
    <sheetView zoomScaleNormal="100" workbookViewId="0"/>
  </sheetViews>
  <sheetFormatPr defaultRowHeight="14.5"/>
  <cols>
    <col min="1" max="1" width="34.1796875" bestFit="1" customWidth="1"/>
    <col min="2" max="2" width="104" customWidth="1"/>
  </cols>
  <sheetData>
    <row r="1" spans="1:2" ht="23.5">
      <c r="A1" s="15" t="s">
        <v>47</v>
      </c>
      <c r="B1" s="2"/>
    </row>
    <row r="2" spans="1:2" ht="15.5">
      <c r="A2" s="28" t="s">
        <v>48</v>
      </c>
      <c r="B2" s="2"/>
    </row>
    <row r="3" spans="1:2" ht="15.5">
      <c r="A3" s="16" t="s">
        <v>49</v>
      </c>
      <c r="B3" s="17" t="s">
        <v>50</v>
      </c>
    </row>
    <row r="4" spans="1:2" ht="31">
      <c r="A4" s="37" t="s">
        <v>51</v>
      </c>
      <c r="B4" s="2" t="s">
        <v>52</v>
      </c>
    </row>
    <row r="5" spans="1:2" ht="62">
      <c r="A5" s="37" t="s">
        <v>53</v>
      </c>
      <c r="B5" s="1" t="s">
        <v>54</v>
      </c>
    </row>
    <row r="6" spans="1:2" ht="46.5">
      <c r="A6" s="37" t="s">
        <v>55</v>
      </c>
      <c r="B6" s="1" t="s">
        <v>56</v>
      </c>
    </row>
    <row r="7" spans="1:2" ht="62">
      <c r="A7" s="37" t="s">
        <v>57</v>
      </c>
      <c r="B7" s="2" t="s">
        <v>58</v>
      </c>
    </row>
    <row r="8" spans="1:2" ht="46.5">
      <c r="A8" s="37" t="s">
        <v>59</v>
      </c>
      <c r="B8" s="2" t="s">
        <v>60</v>
      </c>
    </row>
  </sheetData>
  <phoneticPr fontId="172" type="noConversion"/>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20"/>
  <sheetViews>
    <sheetView zoomScaleNormal="100" workbookViewId="0"/>
  </sheetViews>
  <sheetFormatPr defaultColWidth="9" defaultRowHeight="14.5"/>
  <cols>
    <col min="1" max="1" width="50.54296875" customWidth="1"/>
    <col min="2" max="2" width="20.54296875" style="13" customWidth="1"/>
    <col min="3" max="3" width="23.81640625" style="13" customWidth="1"/>
    <col min="4" max="8" width="20.54296875" style="13" customWidth="1"/>
  </cols>
  <sheetData>
    <row r="1" spans="1:8" ht="30" customHeight="1">
      <c r="A1" s="8" t="s">
        <v>61</v>
      </c>
    </row>
    <row r="2" spans="1:8" ht="20.149999999999999" customHeight="1">
      <c r="A2" s="9" t="s">
        <v>48</v>
      </c>
    </row>
    <row r="3" spans="1:8" ht="20.149999999999999" customHeight="1">
      <c r="A3" s="76" t="s">
        <v>62</v>
      </c>
      <c r="B3" s="63"/>
      <c r="C3" s="63"/>
      <c r="D3" s="63"/>
      <c r="F3" s="9"/>
    </row>
    <row r="4" spans="1:8" ht="20.149999999999999" customHeight="1">
      <c r="A4" s="9" t="s">
        <v>63</v>
      </c>
      <c r="C4" s="9"/>
      <c r="E4" s="9"/>
      <c r="G4" s="9"/>
    </row>
    <row r="5" spans="1:8" ht="21" customHeight="1">
      <c r="A5" s="31" t="s">
        <v>64</v>
      </c>
      <c r="C5" s="9"/>
      <c r="E5" s="9"/>
      <c r="G5" s="9"/>
    </row>
    <row r="6" spans="1:8" s="11" customFormat="1" ht="63.65" customHeight="1">
      <c r="A6" s="10" t="s">
        <v>65</v>
      </c>
      <c r="B6" s="36" t="s">
        <v>66</v>
      </c>
      <c r="C6" s="23" t="s">
        <v>67</v>
      </c>
      <c r="D6" s="23" t="s">
        <v>68</v>
      </c>
      <c r="E6" s="23" t="s">
        <v>69</v>
      </c>
      <c r="F6" s="23" t="s">
        <v>70</v>
      </c>
      <c r="G6" s="23" t="s">
        <v>71</v>
      </c>
      <c r="H6" s="23" t="s">
        <v>72</v>
      </c>
    </row>
    <row r="7" spans="1:8" s="11" customFormat="1" ht="20.149999999999999" customHeight="1">
      <c r="A7" s="66" t="s">
        <v>73</v>
      </c>
      <c r="B7" s="70">
        <v>89.3</v>
      </c>
      <c r="C7" s="71">
        <v>86.09</v>
      </c>
      <c r="D7" s="71">
        <v>83.54</v>
      </c>
      <c r="E7" s="71">
        <v>89.05</v>
      </c>
      <c r="F7" s="71">
        <v>91.75</v>
      </c>
      <c r="G7" s="71">
        <v>89.070000000000007</v>
      </c>
      <c r="H7" s="71">
        <v>91.100000000000009</v>
      </c>
    </row>
    <row r="8" spans="1:8" s="11" customFormat="1" ht="20.149999999999999" customHeight="1">
      <c r="A8" s="66" t="s">
        <v>74</v>
      </c>
      <c r="B8" s="70">
        <v>89.1</v>
      </c>
      <c r="C8" s="71">
        <v>87.99</v>
      </c>
      <c r="D8" s="71">
        <v>82.99</v>
      </c>
      <c r="E8" s="71">
        <v>86.839999999999989</v>
      </c>
      <c r="F8" s="71">
        <v>91.05</v>
      </c>
      <c r="G8" s="71">
        <v>88.460000000000008</v>
      </c>
      <c r="H8" s="71">
        <v>90.83</v>
      </c>
    </row>
    <row r="9" spans="1:8" s="11" customFormat="1" ht="20.149999999999999" customHeight="1">
      <c r="A9" s="66" t="s">
        <v>75</v>
      </c>
      <c r="B9" s="70">
        <v>88.7</v>
      </c>
      <c r="C9" s="71">
        <v>88.3</v>
      </c>
      <c r="D9" s="71">
        <v>77.900000000000006</v>
      </c>
      <c r="E9" s="71">
        <v>88.6</v>
      </c>
      <c r="F9" s="71">
        <v>90.3</v>
      </c>
      <c r="G9" s="71">
        <v>90.8</v>
      </c>
      <c r="H9" s="71">
        <v>88.8</v>
      </c>
    </row>
    <row r="10" spans="1:8" s="11" customFormat="1" ht="20.149999999999999" customHeight="1">
      <c r="A10" s="66" t="s">
        <v>76</v>
      </c>
      <c r="B10" s="70">
        <v>88.4</v>
      </c>
      <c r="C10" s="71">
        <v>91.12</v>
      </c>
      <c r="D10" s="71">
        <v>84</v>
      </c>
      <c r="E10" s="71">
        <v>88.26</v>
      </c>
      <c r="F10" s="71">
        <v>90.29</v>
      </c>
      <c r="G10" s="71">
        <v>86.429999999999993</v>
      </c>
      <c r="H10" s="71">
        <v>88.83</v>
      </c>
    </row>
    <row r="11" spans="1:8" s="11" customFormat="1" ht="20.149999999999999" customHeight="1" thickBot="1">
      <c r="A11" s="67" t="s">
        <v>77</v>
      </c>
      <c r="B11" s="72">
        <v>89.2</v>
      </c>
      <c r="C11" s="73">
        <v>92.63</v>
      </c>
      <c r="D11" s="73">
        <v>85.22</v>
      </c>
      <c r="E11" s="73">
        <v>89.89</v>
      </c>
      <c r="F11" s="73">
        <v>88.160000000000011</v>
      </c>
      <c r="G11" s="73">
        <v>88.69</v>
      </c>
      <c r="H11" s="73">
        <v>88.17</v>
      </c>
    </row>
    <row r="12" spans="1:8" ht="20.149999999999999" customHeight="1" thickTop="1">
      <c r="A12" s="66" t="s">
        <v>78</v>
      </c>
      <c r="B12" s="70" t="s">
        <v>79</v>
      </c>
      <c r="C12" s="71" t="s">
        <v>79</v>
      </c>
      <c r="D12" s="71" t="s">
        <v>79</v>
      </c>
      <c r="E12" s="71" t="s">
        <v>79</v>
      </c>
      <c r="F12" s="71" t="s">
        <v>79</v>
      </c>
      <c r="G12" s="71" t="s">
        <v>79</v>
      </c>
      <c r="H12" s="71" t="s">
        <v>79</v>
      </c>
    </row>
    <row r="13" spans="1:8" ht="20.149999999999999" customHeight="1">
      <c r="A13" s="66" t="s">
        <v>80</v>
      </c>
      <c r="B13" s="70" t="s">
        <v>79</v>
      </c>
      <c r="C13" s="71" t="s">
        <v>79</v>
      </c>
      <c r="D13" s="71" t="s">
        <v>79</v>
      </c>
      <c r="E13" s="71" t="s">
        <v>79</v>
      </c>
      <c r="F13" s="71" t="s">
        <v>79</v>
      </c>
      <c r="G13" s="71" t="s">
        <v>79</v>
      </c>
      <c r="H13" s="71" t="s">
        <v>79</v>
      </c>
    </row>
    <row r="14" spans="1:8" ht="20.5" customHeight="1">
      <c r="A14" s="66" t="s">
        <v>81</v>
      </c>
      <c r="B14" s="85">
        <v>73</v>
      </c>
      <c r="C14" s="71">
        <v>72.900000000000006</v>
      </c>
      <c r="D14" s="71">
        <v>69.599999999999994</v>
      </c>
      <c r="E14" s="71">
        <v>72.7</v>
      </c>
      <c r="F14" s="71">
        <v>72.2</v>
      </c>
      <c r="G14" s="71">
        <v>71.5</v>
      </c>
      <c r="H14" s="71">
        <v>80.2</v>
      </c>
    </row>
    <row r="15" spans="1:8" ht="20.5" customHeight="1">
      <c r="A15" s="66" t="s">
        <v>82</v>
      </c>
      <c r="B15" s="85">
        <v>71</v>
      </c>
      <c r="C15" s="71">
        <v>70.599999999999994</v>
      </c>
      <c r="D15" s="71">
        <v>73.099999999999994</v>
      </c>
      <c r="E15" s="71">
        <v>70.099999999999994</v>
      </c>
      <c r="F15" s="71">
        <v>71.099999999999994</v>
      </c>
      <c r="G15" s="71">
        <v>70.5</v>
      </c>
      <c r="H15" s="71">
        <v>76.099999999999994</v>
      </c>
    </row>
    <row r="16" spans="1:8" ht="20.25" customHeight="1">
      <c r="A16" s="66" t="s">
        <v>83</v>
      </c>
      <c r="B16" s="70">
        <v>68.599999999999994</v>
      </c>
      <c r="C16" s="71" t="s">
        <v>79</v>
      </c>
      <c r="D16" s="71" t="s">
        <v>79</v>
      </c>
      <c r="E16" s="71" t="s">
        <v>79</v>
      </c>
      <c r="F16" s="71" t="s">
        <v>79</v>
      </c>
      <c r="G16" s="71" t="s">
        <v>79</v>
      </c>
      <c r="H16" s="71" t="s">
        <v>79</v>
      </c>
    </row>
    <row r="20" spans="2:8" ht="20.25" customHeight="1">
      <c r="B20" s="68">
        <v>0.89319999999999999</v>
      </c>
      <c r="C20"/>
      <c r="D20"/>
      <c r="E20"/>
      <c r="F20"/>
      <c r="G20"/>
      <c r="H20"/>
    </row>
  </sheetData>
  <phoneticPr fontId="172"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9"/>
  <sheetViews>
    <sheetView zoomScaleNormal="100" workbookViewId="0"/>
  </sheetViews>
  <sheetFormatPr defaultColWidth="9" defaultRowHeight="14.5"/>
  <cols>
    <col min="1" max="1" width="50.54296875" customWidth="1"/>
    <col min="2" max="8" width="20.54296875" style="13" customWidth="1"/>
  </cols>
  <sheetData>
    <row r="1" spans="1:8" ht="30" customHeight="1">
      <c r="A1" s="8" t="s">
        <v>84</v>
      </c>
    </row>
    <row r="2" spans="1:8" ht="20.149999999999999" customHeight="1">
      <c r="A2" s="9" t="s">
        <v>48</v>
      </c>
    </row>
    <row r="3" spans="1:8" ht="20.149999999999999" customHeight="1">
      <c r="A3" s="31" t="s">
        <v>85</v>
      </c>
    </row>
    <row r="4" spans="1:8" s="11" customFormat="1" ht="50.15" customHeight="1">
      <c r="A4" s="10" t="s">
        <v>65</v>
      </c>
      <c r="B4" s="36" t="s">
        <v>86</v>
      </c>
      <c r="C4" s="23" t="s">
        <v>87</v>
      </c>
      <c r="D4" s="23" t="s">
        <v>88</v>
      </c>
      <c r="E4" s="23" t="s">
        <v>89</v>
      </c>
      <c r="F4" s="23" t="s">
        <v>90</v>
      </c>
      <c r="G4" s="23" t="s">
        <v>91</v>
      </c>
      <c r="H4" s="23" t="s">
        <v>92</v>
      </c>
    </row>
    <row r="5" spans="1:8" s="11" customFormat="1" ht="20.149999999999999" customHeight="1">
      <c r="A5" s="10" t="s">
        <v>93</v>
      </c>
      <c r="B5" s="39">
        <v>54.5</v>
      </c>
      <c r="C5" s="21">
        <v>58.4</v>
      </c>
      <c r="D5" s="22">
        <v>58.3</v>
      </c>
      <c r="E5" s="22">
        <v>66.3</v>
      </c>
      <c r="F5" s="22">
        <v>58</v>
      </c>
      <c r="G5" s="22">
        <v>42.4</v>
      </c>
      <c r="H5" s="22">
        <v>63.5</v>
      </c>
    </row>
    <row r="6" spans="1:8" s="11" customFormat="1" ht="20.149999999999999" customHeight="1">
      <c r="A6" s="10" t="s">
        <v>80</v>
      </c>
      <c r="B6" s="39">
        <v>68.099999999999994</v>
      </c>
      <c r="C6" s="21">
        <v>62.1</v>
      </c>
      <c r="D6" s="21">
        <v>66.7</v>
      </c>
      <c r="E6" s="21">
        <v>73.8</v>
      </c>
      <c r="F6" s="21">
        <v>72.099999999999994</v>
      </c>
      <c r="G6" s="21">
        <v>63.4</v>
      </c>
      <c r="H6" s="21">
        <v>73.7</v>
      </c>
    </row>
    <row r="7" spans="1:8" ht="20.5" customHeight="1">
      <c r="A7" s="10" t="s">
        <v>81</v>
      </c>
      <c r="B7" s="39">
        <v>70</v>
      </c>
      <c r="C7" s="21">
        <v>70.2</v>
      </c>
      <c r="D7" s="21">
        <v>78.900000000000006</v>
      </c>
      <c r="E7" s="21">
        <v>68.3</v>
      </c>
      <c r="F7" s="21">
        <v>75.599999999999994</v>
      </c>
      <c r="G7" s="21">
        <v>61.5</v>
      </c>
      <c r="H7" s="21">
        <v>79.7</v>
      </c>
    </row>
    <row r="8" spans="1:8" ht="20.5" customHeight="1">
      <c r="A8" s="10" t="s">
        <v>82</v>
      </c>
      <c r="B8" s="39">
        <v>71.099999999999994</v>
      </c>
      <c r="C8" s="21">
        <v>73.5</v>
      </c>
      <c r="D8" s="21">
        <v>81.099999999999994</v>
      </c>
      <c r="E8" s="21">
        <v>70.5</v>
      </c>
      <c r="F8" s="21">
        <v>78.8</v>
      </c>
      <c r="G8" s="21">
        <v>59.8</v>
      </c>
      <c r="H8" s="21">
        <v>78.3</v>
      </c>
    </row>
    <row r="9" spans="1:8" ht="20.25" customHeight="1">
      <c r="A9" s="10" t="s">
        <v>83</v>
      </c>
      <c r="B9" s="39">
        <v>74.099999999999994</v>
      </c>
      <c r="C9" s="22" t="s">
        <v>79</v>
      </c>
      <c r="D9" s="22" t="s">
        <v>79</v>
      </c>
      <c r="E9" s="22" t="s">
        <v>79</v>
      </c>
      <c r="F9" s="22" t="s">
        <v>79</v>
      </c>
      <c r="G9" s="22" t="s">
        <v>79</v>
      </c>
      <c r="H9" s="22" t="s">
        <v>79</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H8"/>
  <sheetViews>
    <sheetView zoomScaleNormal="100" workbookViewId="0"/>
  </sheetViews>
  <sheetFormatPr defaultRowHeight="14.5"/>
  <cols>
    <col min="1" max="1" width="50.54296875" customWidth="1"/>
    <col min="2" max="8" width="20.54296875" customWidth="1"/>
  </cols>
  <sheetData>
    <row r="1" spans="1:8" ht="30" customHeight="1">
      <c r="A1" s="8" t="s">
        <v>94</v>
      </c>
      <c r="B1" s="8"/>
      <c r="C1" s="8"/>
      <c r="D1" s="8"/>
      <c r="E1" s="8"/>
      <c r="F1" s="8"/>
      <c r="G1" s="8"/>
      <c r="H1" s="8"/>
    </row>
    <row r="2" spans="1:8" ht="20.149999999999999" customHeight="1">
      <c r="A2" s="26" t="s">
        <v>48</v>
      </c>
      <c r="B2" s="26"/>
      <c r="C2" s="30"/>
      <c r="D2" s="30"/>
      <c r="E2" s="30"/>
      <c r="F2" s="30"/>
      <c r="G2" s="30"/>
      <c r="H2" s="30"/>
    </row>
    <row r="3" spans="1:8" ht="50.15" customHeight="1">
      <c r="A3" s="10" t="s">
        <v>65</v>
      </c>
      <c r="B3" s="36" t="s">
        <v>95</v>
      </c>
      <c r="C3" s="23" t="s">
        <v>96</v>
      </c>
      <c r="D3" s="23" t="s">
        <v>97</v>
      </c>
      <c r="E3" s="23" t="s">
        <v>98</v>
      </c>
      <c r="F3" s="23" t="s">
        <v>99</v>
      </c>
      <c r="G3" s="23" t="s">
        <v>100</v>
      </c>
      <c r="H3" s="23" t="s">
        <v>101</v>
      </c>
    </row>
    <row r="4" spans="1:8" ht="20.149999999999999" customHeight="1">
      <c r="A4" s="10" t="s">
        <v>102</v>
      </c>
      <c r="B4" s="78">
        <v>1.3078703703703705E-3</v>
      </c>
      <c r="C4" s="80">
        <v>1.6087962962962963E-3</v>
      </c>
      <c r="D4" s="79">
        <v>1.0879629629629629E-3</v>
      </c>
      <c r="E4" s="79">
        <v>1.25E-3</v>
      </c>
      <c r="F4" s="79">
        <v>1.3078703703703705E-3</v>
      </c>
      <c r="G4" s="79">
        <v>1.4930555555555556E-3</v>
      </c>
      <c r="H4" s="79">
        <v>1.1921296296296296E-3</v>
      </c>
    </row>
    <row r="5" spans="1:8" ht="20.149999999999999" customHeight="1">
      <c r="A5" s="10" t="s">
        <v>80</v>
      </c>
      <c r="B5" s="78">
        <v>1.5162037037037036E-3</v>
      </c>
      <c r="C5" s="80">
        <v>2.1990740740740742E-3</v>
      </c>
      <c r="D5" s="79">
        <v>1.2152777777777778E-3</v>
      </c>
      <c r="E5" s="79">
        <v>9.9537037037037042E-4</v>
      </c>
      <c r="F5" s="79">
        <v>1.3078703703703705E-3</v>
      </c>
      <c r="G5" s="79">
        <v>1.4351851851851854E-3</v>
      </c>
      <c r="H5" s="79">
        <v>1.8865740740740742E-3</v>
      </c>
    </row>
    <row r="6" spans="1:8" ht="20.5" customHeight="1">
      <c r="A6" s="10" t="s">
        <v>81</v>
      </c>
      <c r="B6" s="78">
        <v>1.6203703703703703E-3</v>
      </c>
      <c r="C6" s="80">
        <v>1.7939814814814815E-3</v>
      </c>
      <c r="D6" s="79">
        <v>1.4120370370370369E-3</v>
      </c>
      <c r="E6" s="79">
        <v>1.8055555555555557E-3</v>
      </c>
      <c r="F6" s="79">
        <v>1.3888888888888889E-3</v>
      </c>
      <c r="G6" s="79">
        <v>1.3888888888888889E-3</v>
      </c>
      <c r="H6" s="79">
        <v>1.8402777777777777E-3</v>
      </c>
    </row>
    <row r="7" spans="1:8" ht="20.5" customHeight="1">
      <c r="A7" s="10" t="s">
        <v>82</v>
      </c>
      <c r="B7" s="78">
        <v>1.6550925925925926E-3</v>
      </c>
      <c r="C7" s="80">
        <v>1.724537037037037E-3</v>
      </c>
      <c r="D7" s="79">
        <v>1.6782407407407408E-3</v>
      </c>
      <c r="E7" s="79">
        <v>1.7708333333333332E-3</v>
      </c>
      <c r="F7" s="79">
        <v>1.4351851851851852E-3</v>
      </c>
      <c r="G7" s="79">
        <v>1.5972222222222223E-3</v>
      </c>
      <c r="H7" s="79">
        <v>1.6550925925925926E-3</v>
      </c>
    </row>
    <row r="8" spans="1:8" ht="20.25" customHeight="1">
      <c r="A8" s="10" t="s">
        <v>83</v>
      </c>
      <c r="B8" s="78">
        <v>1.6087962962962963E-3</v>
      </c>
      <c r="C8" s="88" t="s">
        <v>79</v>
      </c>
      <c r="D8" s="88" t="s">
        <v>79</v>
      </c>
      <c r="E8" s="88" t="s">
        <v>79</v>
      </c>
      <c r="F8" s="88" t="s">
        <v>79</v>
      </c>
      <c r="G8" s="88" t="s">
        <v>79</v>
      </c>
      <c r="H8" s="88" t="s">
        <v>79</v>
      </c>
    </row>
  </sheetData>
  <phoneticPr fontId="172"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8"/>
  <sheetViews>
    <sheetView zoomScaleNormal="100" workbookViewId="0"/>
  </sheetViews>
  <sheetFormatPr defaultRowHeight="14.5"/>
  <cols>
    <col min="1" max="1" width="50.54296875" customWidth="1"/>
    <col min="2" max="8" width="20.54296875" customWidth="1"/>
  </cols>
  <sheetData>
    <row r="1" spans="1:8" ht="30" customHeight="1">
      <c r="A1" s="29" t="s">
        <v>103</v>
      </c>
      <c r="B1" s="13"/>
      <c r="C1" s="13"/>
      <c r="D1" s="13"/>
      <c r="E1" s="13"/>
      <c r="F1" s="13"/>
      <c r="G1" s="13"/>
      <c r="H1" s="13"/>
    </row>
    <row r="2" spans="1:8" ht="21" customHeight="1">
      <c r="A2" s="9" t="s">
        <v>48</v>
      </c>
      <c r="B2" s="13"/>
      <c r="C2" s="13"/>
      <c r="D2" s="13"/>
      <c r="E2" s="13"/>
      <c r="F2" s="13"/>
      <c r="G2" s="13"/>
      <c r="H2" s="13"/>
    </row>
    <row r="3" spans="1:8" ht="46.5">
      <c r="A3" s="10" t="s">
        <v>65</v>
      </c>
      <c r="B3" s="36" t="s">
        <v>86</v>
      </c>
      <c r="C3" s="23" t="s">
        <v>87</v>
      </c>
      <c r="D3" s="23" t="s">
        <v>88</v>
      </c>
      <c r="E3" s="23" t="s">
        <v>89</v>
      </c>
      <c r="F3" s="23" t="s">
        <v>90</v>
      </c>
      <c r="G3" s="23" t="s">
        <v>91</v>
      </c>
      <c r="H3" s="23" t="s">
        <v>92</v>
      </c>
    </row>
    <row r="4" spans="1:8" ht="20.149999999999999" customHeight="1">
      <c r="A4" s="10" t="s">
        <v>102</v>
      </c>
      <c r="B4" s="39">
        <v>98.5</v>
      </c>
      <c r="C4" s="21">
        <v>99.1</v>
      </c>
      <c r="D4" s="21">
        <v>98.9</v>
      </c>
      <c r="E4" s="21">
        <v>98.1</v>
      </c>
      <c r="F4" s="21">
        <v>97.899999999999991</v>
      </c>
      <c r="G4" s="21">
        <v>98.8</v>
      </c>
      <c r="H4" s="21">
        <v>98.9</v>
      </c>
    </row>
    <row r="5" spans="1:8" ht="20.149999999999999" customHeight="1">
      <c r="A5" s="10" t="s">
        <v>104</v>
      </c>
      <c r="B5" s="39">
        <v>98.4</v>
      </c>
      <c r="C5" s="21">
        <v>98</v>
      </c>
      <c r="D5" s="21">
        <v>98.4</v>
      </c>
      <c r="E5" s="21">
        <v>97.5</v>
      </c>
      <c r="F5" s="21">
        <v>98.1</v>
      </c>
      <c r="G5" s="21">
        <v>98.1</v>
      </c>
      <c r="H5" s="21">
        <v>98.9</v>
      </c>
    </row>
    <row r="6" spans="1:8" ht="20.5" customHeight="1">
      <c r="A6" s="10" t="s">
        <v>81</v>
      </c>
      <c r="B6" s="39">
        <v>98.6</v>
      </c>
      <c r="C6" s="21">
        <v>99</v>
      </c>
      <c r="D6" s="77">
        <v>98.7</v>
      </c>
      <c r="E6" s="77">
        <v>98.2</v>
      </c>
      <c r="F6" s="21">
        <v>98.1</v>
      </c>
      <c r="G6" s="21">
        <v>98.7</v>
      </c>
      <c r="H6" s="21">
        <v>98.9</v>
      </c>
    </row>
    <row r="7" spans="1:8" ht="20.5" customHeight="1">
      <c r="A7" s="10" t="s">
        <v>105</v>
      </c>
      <c r="B7" s="39">
        <v>91.9</v>
      </c>
      <c r="C7" s="21">
        <v>91.2</v>
      </c>
      <c r="D7" s="21">
        <v>90.9</v>
      </c>
      <c r="E7" s="21">
        <v>91.7</v>
      </c>
      <c r="F7" s="21">
        <v>90.2</v>
      </c>
      <c r="G7" s="21">
        <v>93.3</v>
      </c>
      <c r="H7" s="21">
        <v>93.7</v>
      </c>
    </row>
    <row r="8" spans="1:8" ht="20.25" customHeight="1">
      <c r="A8" s="10" t="s">
        <v>106</v>
      </c>
      <c r="B8" s="39">
        <v>90.9</v>
      </c>
      <c r="C8" s="21" t="s">
        <v>79</v>
      </c>
      <c r="D8" s="21" t="s">
        <v>79</v>
      </c>
      <c r="E8" s="21" t="s">
        <v>79</v>
      </c>
      <c r="F8" s="21" t="s">
        <v>79</v>
      </c>
      <c r="G8" s="21" t="s">
        <v>79</v>
      </c>
      <c r="H8" s="21" t="s">
        <v>79</v>
      </c>
    </row>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8"/>
  <sheetViews>
    <sheetView zoomScaleNormal="100" workbookViewId="0"/>
  </sheetViews>
  <sheetFormatPr defaultRowHeight="14.5"/>
  <cols>
    <col min="1" max="1" width="50.54296875" customWidth="1"/>
    <col min="2" max="8" width="20.54296875" customWidth="1"/>
  </cols>
  <sheetData>
    <row r="1" spans="1:8" ht="30" customHeight="1">
      <c r="A1" s="29" t="s">
        <v>107</v>
      </c>
      <c r="B1" s="13"/>
      <c r="C1" s="13"/>
      <c r="D1" s="13"/>
      <c r="E1" s="13"/>
      <c r="F1" s="13"/>
      <c r="G1" s="13"/>
      <c r="H1" s="13"/>
    </row>
    <row r="2" spans="1:8" ht="20.149999999999999" customHeight="1">
      <c r="A2" s="9" t="s">
        <v>48</v>
      </c>
      <c r="B2" s="13"/>
      <c r="C2" s="13"/>
      <c r="D2" s="13"/>
      <c r="E2" s="13"/>
      <c r="F2" s="13"/>
      <c r="G2" s="13"/>
      <c r="H2" s="13"/>
    </row>
    <row r="3" spans="1:8" ht="50.15" customHeight="1">
      <c r="A3" s="10" t="s">
        <v>65</v>
      </c>
      <c r="B3" s="36" t="s">
        <v>108</v>
      </c>
      <c r="C3" s="23" t="s">
        <v>87</v>
      </c>
      <c r="D3" s="23" t="s">
        <v>88</v>
      </c>
      <c r="E3" s="23" t="s">
        <v>89</v>
      </c>
      <c r="F3" s="23" t="s">
        <v>90</v>
      </c>
      <c r="G3" s="23" t="s">
        <v>91</v>
      </c>
      <c r="H3" s="23" t="s">
        <v>92</v>
      </c>
    </row>
    <row r="4" spans="1:8" ht="20.149999999999999" customHeight="1">
      <c r="A4" s="10" t="s">
        <v>93</v>
      </c>
      <c r="B4" s="64">
        <v>53</v>
      </c>
      <c r="C4" s="74" t="s">
        <v>79</v>
      </c>
      <c r="D4" s="74" t="s">
        <v>79</v>
      </c>
      <c r="E4" s="74" t="s">
        <v>79</v>
      </c>
      <c r="F4" s="74" t="s">
        <v>79</v>
      </c>
      <c r="G4" s="74" t="s">
        <v>79</v>
      </c>
      <c r="H4" s="74" t="s">
        <v>79</v>
      </c>
    </row>
    <row r="5" spans="1:8" ht="20.149999999999999" customHeight="1">
      <c r="A5" s="10" t="s">
        <v>80</v>
      </c>
      <c r="B5" s="64">
        <v>97.2</v>
      </c>
      <c r="C5" s="75">
        <v>92</v>
      </c>
      <c r="D5" s="75">
        <v>100</v>
      </c>
      <c r="E5" s="75">
        <v>100</v>
      </c>
      <c r="F5" s="75">
        <v>100</v>
      </c>
      <c r="G5" s="75">
        <v>67</v>
      </c>
      <c r="H5" s="75">
        <v>100</v>
      </c>
    </row>
    <row r="6" spans="1:8" ht="20.5" customHeight="1">
      <c r="A6" s="10" t="s">
        <v>81</v>
      </c>
      <c r="B6" s="64">
        <v>99</v>
      </c>
      <c r="C6" s="75">
        <v>100</v>
      </c>
      <c r="D6" s="75">
        <v>100</v>
      </c>
      <c r="E6" s="75">
        <v>100</v>
      </c>
      <c r="F6" s="75">
        <v>100</v>
      </c>
      <c r="G6" s="75">
        <v>100</v>
      </c>
      <c r="H6" s="75">
        <v>91</v>
      </c>
    </row>
    <row r="7" spans="1:8" ht="20.5" customHeight="1">
      <c r="A7" s="10" t="s">
        <v>82</v>
      </c>
      <c r="B7" s="64">
        <v>100</v>
      </c>
      <c r="C7" s="75">
        <v>100</v>
      </c>
      <c r="D7" s="75">
        <v>100</v>
      </c>
      <c r="E7" s="75">
        <v>100</v>
      </c>
      <c r="F7" s="75">
        <v>100</v>
      </c>
      <c r="G7" s="75">
        <v>100</v>
      </c>
      <c r="H7" s="75">
        <v>100</v>
      </c>
    </row>
    <row r="8" spans="1:8" ht="20.25" customHeight="1">
      <c r="A8" s="10" t="s">
        <v>83</v>
      </c>
      <c r="B8" s="64">
        <v>100</v>
      </c>
      <c r="C8" s="74" t="s">
        <v>79</v>
      </c>
      <c r="D8" s="74" t="s">
        <v>79</v>
      </c>
      <c r="E8" s="74" t="s">
        <v>79</v>
      </c>
      <c r="F8" s="74" t="s">
        <v>79</v>
      </c>
      <c r="G8" s="74" t="s">
        <v>79</v>
      </c>
      <c r="H8" s="74" t="s">
        <v>79</v>
      </c>
    </row>
  </sheetData>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5E5F-A252-4D78-90D2-69BC7CA84687}">
  <sheetPr codeName="Sheet9">
    <tabColor rgb="FFFFC000"/>
  </sheetPr>
  <dimension ref="A2:U27"/>
  <sheetViews>
    <sheetView zoomScale="85" zoomScaleNormal="85" workbookViewId="0">
      <selection activeCell="E9" sqref="E9:K9"/>
    </sheetView>
  </sheetViews>
  <sheetFormatPr defaultRowHeight="14.5"/>
  <cols>
    <col min="2" max="2" width="32.81640625" bestFit="1" customWidth="1"/>
    <col min="4" max="4" width="24.1796875" style="41" customWidth="1"/>
    <col min="5" max="5" width="17.1796875" customWidth="1"/>
    <col min="6" max="6" width="21.81640625" customWidth="1"/>
    <col min="7" max="11" width="9.453125" bestFit="1" customWidth="1"/>
  </cols>
  <sheetData>
    <row r="2" spans="1:21" s="52" customFormat="1" ht="39">
      <c r="A2" s="52" t="s">
        <v>109</v>
      </c>
      <c r="B2" s="52" t="s">
        <v>110</v>
      </c>
      <c r="C2" s="55" t="s">
        <v>111</v>
      </c>
      <c r="D2" s="60" t="s">
        <v>112</v>
      </c>
      <c r="E2" s="56" t="s">
        <v>113</v>
      </c>
      <c r="F2" s="57" t="s">
        <v>114</v>
      </c>
      <c r="G2" s="57" t="s">
        <v>115</v>
      </c>
      <c r="H2" s="57" t="s">
        <v>116</v>
      </c>
      <c r="I2" s="57" t="s">
        <v>117</v>
      </c>
      <c r="J2" s="57" t="s">
        <v>118</v>
      </c>
      <c r="K2" s="58" t="s">
        <v>119</v>
      </c>
      <c r="L2" s="69"/>
    </row>
    <row r="3" spans="1:21">
      <c r="A3" t="str">
        <f>LEFT(Table_5a!$A$1,8)</f>
        <v>Table 5a</v>
      </c>
      <c r="B3" t="str">
        <f>Table_5a!A7</f>
        <v>April 2015 to March 2016</v>
      </c>
      <c r="C3" s="54" t="str">
        <f>IF(ISNUMBER(SEARCH("2015",B3)),"2015-16",IF(ISNUMBER(SEARCH("2016",B3)),"2016-17",IF(ISNUMBER(SEARCH("2017",B3)),"2017-18",IF(ISNUMBER(SEARCH("2018",B3)),"2018-19",IF(ISNUMBER(SEARCH("2019",B3)),"2019-20",IF(ISNUMBER(SEARCH("2020",B3)),"2020-21",IF(ISNUMBER(SEARCH("2021",B3)),"2021-22",IF(ISNUMBER(SEARCH("2022",B3)),"2022-23",IF(ISNUMBER(SEARCH("2023",B3)),"2023-24",IF(ISNUMBER(SEARCH("2024",B3)),"2024-25",IF(ISNUMBER(SEARCH("2025",B3)),"2025-26","")))))))))))</f>
        <v>2015-16</v>
      </c>
      <c r="D3" s="61" t="s">
        <v>120</v>
      </c>
      <c r="E3" s="62">
        <f>VLOOKUP($B3,Table_5a[#All],COLUMN(E$1)-3,FALSE)</f>
        <v>89.3</v>
      </c>
      <c r="F3" s="62">
        <f>VLOOKUP($B3,Table_5a[#All],COLUMN(F$1)-3,FALSE)</f>
        <v>86.09</v>
      </c>
      <c r="G3" s="62">
        <f>VLOOKUP($B3,Table_5a[#All],COLUMN(G$1)-3,FALSE)</f>
        <v>83.54</v>
      </c>
      <c r="H3" s="62">
        <f>VLOOKUP($B3,Table_5a[#All],COLUMN(H$1)-3,FALSE)</f>
        <v>89.05</v>
      </c>
      <c r="I3" s="62">
        <f>VLOOKUP($B3,Table_5a[#All],COLUMN(I$1)-3,FALSE)</f>
        <v>91.75</v>
      </c>
      <c r="J3" s="62">
        <f>VLOOKUP($B3,Table_5a[#All],COLUMN(J$1)-3,FALSE)</f>
        <v>89.070000000000007</v>
      </c>
      <c r="K3" s="62">
        <f>VLOOKUP($B3,Table_5a[#All],COLUMN(K$1)-3,FALSE)</f>
        <v>91.100000000000009</v>
      </c>
      <c r="L3" s="62"/>
    </row>
    <row r="4" spans="1:21">
      <c r="A4" t="str">
        <f>LEFT(Table_5a!$A$1,8)</f>
        <v>Table 5a</v>
      </c>
      <c r="B4" t="str">
        <f>Table_5a!A8</f>
        <v>April 2016 to March 2017</v>
      </c>
      <c r="C4" s="54" t="str">
        <f t="shared" ref="C4:C25" si="0">IF(ISNUMBER(SEARCH("2015",B4)),"2015-16",IF(ISNUMBER(SEARCH("2016",B4)),"2016-17",IF(ISNUMBER(SEARCH("2017",B4)),"2017-18",IF(ISNUMBER(SEARCH("2018",B4)),"2018-19",IF(ISNUMBER(SEARCH("2019",B4)),"2019-20",IF(ISNUMBER(SEARCH("2020",B4)),"2020-21",IF(ISNUMBER(SEARCH("2021",B4)),"2021-22",IF(ISNUMBER(SEARCH("2022",B4)),"2022-23",IF(ISNUMBER(SEARCH("2023",B4)),"2023-24",IF(ISNUMBER(SEARCH("2024",B4)),"2024-25",IF(ISNUMBER(SEARCH("2025",B4)),"2025-26","")))))))))))</f>
        <v>2016-17</v>
      </c>
      <c r="D4" s="61" t="s">
        <v>120</v>
      </c>
      <c r="E4" s="62">
        <f>VLOOKUP($B4,Table_5a[#All],COLUMN(E$1)-3,FALSE)</f>
        <v>89.1</v>
      </c>
      <c r="F4" s="62">
        <f>VLOOKUP($B4,Table_5a[#All],COLUMN(F$1)-3,FALSE)</f>
        <v>87.99</v>
      </c>
      <c r="G4" s="62">
        <f>VLOOKUP($B4,Table_5a[#All],COLUMN(G$1)-3,FALSE)</f>
        <v>82.99</v>
      </c>
      <c r="H4" s="62">
        <f>VLOOKUP($B4,Table_5a[#All],COLUMN(H$1)-3,FALSE)</f>
        <v>86.839999999999989</v>
      </c>
      <c r="I4" s="62">
        <f>VLOOKUP($B4,Table_5a[#All],COLUMN(I$1)-3,FALSE)</f>
        <v>91.05</v>
      </c>
      <c r="J4" s="62">
        <f>VLOOKUP($B4,Table_5a[#All],COLUMN(J$1)-3,FALSE)</f>
        <v>88.460000000000008</v>
      </c>
      <c r="K4" s="62">
        <f>VLOOKUP($B4,Table_5a[#All],COLUMN(K$1)-3,FALSE)</f>
        <v>90.83</v>
      </c>
      <c r="L4" s="62"/>
    </row>
    <row r="5" spans="1:21">
      <c r="A5" t="str">
        <f>LEFT(Table_5a!$A$1,8)</f>
        <v>Table 5a</v>
      </c>
      <c r="B5" t="str">
        <f>Table_5a!A9</f>
        <v>April 2017 to March 2018</v>
      </c>
      <c r="C5" s="54" t="str">
        <f t="shared" si="0"/>
        <v>2017-18</v>
      </c>
      <c r="D5" s="61" t="s">
        <v>120</v>
      </c>
      <c r="E5" s="62">
        <f>VLOOKUP($B5,Table_5a[#All],COLUMN(E$1)-3,FALSE)</f>
        <v>88.7</v>
      </c>
      <c r="F5" s="62">
        <f>VLOOKUP($B5,Table_5a[#All],COLUMN(F$1)-3,FALSE)</f>
        <v>88.3</v>
      </c>
      <c r="G5" s="62">
        <f>VLOOKUP($B5,Table_5a[#All],COLUMN(G$1)-3,FALSE)</f>
        <v>77.900000000000006</v>
      </c>
      <c r="H5" s="62">
        <f>VLOOKUP($B5,Table_5a[#All],COLUMN(H$1)-3,FALSE)</f>
        <v>88.6</v>
      </c>
      <c r="I5" s="62">
        <f>VLOOKUP($B5,Table_5a[#All],COLUMN(I$1)-3,FALSE)</f>
        <v>90.3</v>
      </c>
      <c r="J5" s="62">
        <f>VLOOKUP($B5,Table_5a[#All],COLUMN(J$1)-3,FALSE)</f>
        <v>90.8</v>
      </c>
      <c r="K5" s="62">
        <f>VLOOKUP($B5,Table_5a[#All],COLUMN(K$1)-3,FALSE)</f>
        <v>88.8</v>
      </c>
      <c r="L5" s="62"/>
    </row>
    <row r="6" spans="1:21">
      <c r="A6" t="str">
        <f>LEFT(Table_5a!$A$1,8)</f>
        <v>Table 5a</v>
      </c>
      <c r="B6" t="str">
        <f>Table_5a!A10</f>
        <v>April 2018 to March 2019</v>
      </c>
      <c r="C6" s="54" t="str">
        <f t="shared" si="0"/>
        <v>2018-19</v>
      </c>
      <c r="D6" s="61" t="s">
        <v>120</v>
      </c>
      <c r="E6" s="62">
        <f>VLOOKUP($B6,Table_5a[#All],COLUMN(E$1)-3,FALSE)</f>
        <v>88.4</v>
      </c>
      <c r="F6" s="62">
        <f>VLOOKUP($B6,Table_5a[#All],COLUMN(F$1)-3,FALSE)</f>
        <v>91.12</v>
      </c>
      <c r="G6" s="62">
        <f>VLOOKUP($B6,Table_5a[#All],COLUMN(G$1)-3,FALSE)</f>
        <v>84</v>
      </c>
      <c r="H6" s="62">
        <f>VLOOKUP($B6,Table_5a[#All],COLUMN(H$1)-3,FALSE)</f>
        <v>88.26</v>
      </c>
      <c r="I6" s="62">
        <f>VLOOKUP($B6,Table_5a[#All],COLUMN(I$1)-3,FALSE)</f>
        <v>90.29</v>
      </c>
      <c r="J6" s="62">
        <f>VLOOKUP($B6,Table_5a[#All],COLUMN(J$1)-3,FALSE)</f>
        <v>86.429999999999993</v>
      </c>
      <c r="K6" s="62">
        <f>VLOOKUP($B6,Table_5a[#All],COLUMN(K$1)-3,FALSE)</f>
        <v>88.83</v>
      </c>
      <c r="L6" s="62"/>
    </row>
    <row r="7" spans="1:21">
      <c r="A7" t="str">
        <f>LEFT(Table_5a!$A$1,8)</f>
        <v>Table 5a</v>
      </c>
      <c r="B7" t="str">
        <f>Table_5a!A11</f>
        <v>April 2019 to March 2020</v>
      </c>
      <c r="C7" s="54" t="str">
        <f t="shared" si="0"/>
        <v>2019-20</v>
      </c>
      <c r="D7" s="61" t="s">
        <v>120</v>
      </c>
      <c r="E7" s="62">
        <f>VLOOKUP($B7,Table_5a[#All],COLUMN(E$1)-3,FALSE)</f>
        <v>89.2</v>
      </c>
      <c r="F7" s="62">
        <f>VLOOKUP($B7,Table_5a[#All],COLUMN(F$1)-3,FALSE)</f>
        <v>92.63</v>
      </c>
      <c r="G7" s="62">
        <f>VLOOKUP($B7,Table_5a[#All],COLUMN(G$1)-3,FALSE)</f>
        <v>85.22</v>
      </c>
      <c r="H7" s="62">
        <f>VLOOKUP($B7,Table_5a[#All],COLUMN(H$1)-3,FALSE)</f>
        <v>89.89</v>
      </c>
      <c r="I7" s="62">
        <f>VLOOKUP($B7,Table_5a[#All],COLUMN(I$1)-3,FALSE)</f>
        <v>88.160000000000011</v>
      </c>
      <c r="J7" s="62">
        <f>VLOOKUP($B7,Table_5a[#All],COLUMN(J$1)-3,FALSE)</f>
        <v>88.69</v>
      </c>
      <c r="K7" s="62">
        <f>VLOOKUP($B7,Table_5a[#All],COLUMN(K$1)-3,FALSE)</f>
        <v>88.17</v>
      </c>
      <c r="L7" s="62"/>
    </row>
    <row r="8" spans="1:21">
      <c r="A8" t="str">
        <f>LEFT(Table_5a!$A$1,8)</f>
        <v>Table 5a</v>
      </c>
      <c r="B8" t="str">
        <f>Table_5a!A12</f>
        <v>April 2020 to March 2021  [Note 2] [b]</v>
      </c>
      <c r="C8" s="54" t="str">
        <f t="shared" si="0"/>
        <v>2020-21</v>
      </c>
      <c r="D8" s="61" t="s">
        <v>120</v>
      </c>
      <c r="E8" s="62"/>
      <c r="F8" s="62"/>
      <c r="G8" s="62"/>
      <c r="H8" s="62"/>
      <c r="I8" s="62"/>
      <c r="J8" s="62"/>
      <c r="K8" s="62"/>
      <c r="L8" s="62"/>
    </row>
    <row r="9" spans="1:21">
      <c r="A9" t="str">
        <f>LEFT(Table_5a!$A$1,8)</f>
        <v>Table 5a</v>
      </c>
      <c r="B9" t="str">
        <f>Table_5a!A13</f>
        <v>April 2021 to March 2022</v>
      </c>
      <c r="C9" s="54" t="str">
        <f t="shared" si="0"/>
        <v>2021-22</v>
      </c>
      <c r="D9" s="61" t="s">
        <v>120</v>
      </c>
      <c r="E9" s="62"/>
      <c r="F9" s="62"/>
      <c r="G9" s="62"/>
      <c r="H9" s="62"/>
      <c r="I9" s="62"/>
      <c r="J9" s="62"/>
      <c r="K9" s="62"/>
      <c r="L9" s="62"/>
    </row>
    <row r="10" spans="1:21">
      <c r="A10" t="str">
        <f>LEFT(Table_5a!$A$1,8)</f>
        <v>Table 5a</v>
      </c>
      <c r="B10" t="str">
        <f>Table_5a!A14</f>
        <v>April 2022 to March 2023</v>
      </c>
      <c r="C10" s="54" t="str">
        <f t="shared" si="0"/>
        <v>2022-23</v>
      </c>
      <c r="D10" s="61" t="s">
        <v>120</v>
      </c>
      <c r="E10" s="62">
        <f>VLOOKUP($B10,Table_5a[#All],COLUMN(E$1)-3,FALSE)</f>
        <v>73</v>
      </c>
      <c r="F10" s="62">
        <f>VLOOKUP($B10,Table_5a[#All],COLUMN(F$1)-3,FALSE)</f>
        <v>72.900000000000006</v>
      </c>
      <c r="G10" s="62">
        <f>VLOOKUP($B10,Table_5a[#All],COLUMN(G$1)-3,FALSE)</f>
        <v>69.599999999999994</v>
      </c>
      <c r="H10" s="62">
        <f>VLOOKUP($B10,Table_5a[#All],COLUMN(H$1)-3,FALSE)</f>
        <v>72.7</v>
      </c>
      <c r="I10" s="62">
        <f>VLOOKUP($B10,Table_5a[#All],COLUMN(I$1)-3,FALSE)</f>
        <v>72.2</v>
      </c>
      <c r="J10" s="62">
        <f>VLOOKUP($B10,Table_5a[#All],COLUMN(J$1)-3,FALSE)</f>
        <v>71.5</v>
      </c>
      <c r="K10" s="62">
        <f>VLOOKUP($B10,Table_5a[#All],COLUMN(K$1)-3,FALSE)</f>
        <v>80.2</v>
      </c>
      <c r="L10" s="62"/>
    </row>
    <row r="11" spans="1:21">
      <c r="A11" t="str">
        <f>LEFT(Table_5a!$A$1,8)</f>
        <v>Table 5a</v>
      </c>
      <c r="B11" t="str">
        <f>Table_5a!A15</f>
        <v>April 2023 to March 2024</v>
      </c>
      <c r="C11" s="54" t="str">
        <f t="shared" ref="C11" si="1">IF(ISNUMBER(SEARCH("2015",B11)),"2015-16",IF(ISNUMBER(SEARCH("2016",B11)),"2016-17",IF(ISNUMBER(SEARCH("2017",B11)),"2017-18",IF(ISNUMBER(SEARCH("2018",B11)),"2018-19",IF(ISNUMBER(SEARCH("2019",B11)),"2019-20",IF(ISNUMBER(SEARCH("2020",B11)),"2020-21",IF(ISNUMBER(SEARCH("2021",B11)),"2021-22",IF(ISNUMBER(SEARCH("2022",B11)),"2022-23",IF(ISNUMBER(SEARCH("2023",B11)),"2023-24",IF(ISNUMBER(SEARCH("2024",B11)),"2024-25",IF(ISNUMBER(SEARCH("2025",B11)),"2025-26","")))))))))))</f>
        <v>2023-24</v>
      </c>
      <c r="D11" s="61" t="s">
        <v>120</v>
      </c>
      <c r="E11" s="62">
        <f>VLOOKUP($B11,Table_5a[#All],COLUMN(E$1)-3,FALSE)</f>
        <v>71</v>
      </c>
      <c r="F11" s="62">
        <f>VLOOKUP($B11,Table_5a[#All],COLUMN(F$1)-3,FALSE)</f>
        <v>70.599999999999994</v>
      </c>
      <c r="G11" s="62">
        <f>VLOOKUP($B11,Table_5a[#All],COLUMN(G$1)-3,FALSE)</f>
        <v>73.099999999999994</v>
      </c>
      <c r="H11" s="62">
        <f>VLOOKUP($B11,Table_5a[#All],COLUMN(H$1)-3,FALSE)</f>
        <v>70.099999999999994</v>
      </c>
      <c r="I11" s="62">
        <f>VLOOKUP($B11,Table_5a[#All],COLUMN(I$1)-3,FALSE)</f>
        <v>71.099999999999994</v>
      </c>
      <c r="J11" s="62">
        <f>VLOOKUP($B11,Table_5a[#All],COLUMN(J$1)-3,FALSE)</f>
        <v>70.5</v>
      </c>
      <c r="K11" s="62">
        <f>VLOOKUP($B11,Table_5a[#All],COLUMN(K$1)-3,FALSE)</f>
        <v>76.099999999999994</v>
      </c>
      <c r="L11" s="62"/>
    </row>
    <row r="12" spans="1:21">
      <c r="A12" t="str">
        <f>LEFT(Table_5b!$A$1,8)</f>
        <v>Table 5b</v>
      </c>
      <c r="B12" t="str">
        <f>Table_5b!A5</f>
        <v>April 2020 to March 2021 [Note 1]</v>
      </c>
      <c r="C12" s="54" t="str">
        <f t="shared" si="0"/>
        <v>2020-21</v>
      </c>
      <c r="D12" s="61" t="s">
        <v>121</v>
      </c>
      <c r="E12" s="54">
        <f>VLOOKUP($B12,Table_5b[#All],COLUMN(E$1)-3,FALSE)</f>
        <v>54.5</v>
      </c>
      <c r="F12" s="54">
        <f>VLOOKUP($B12,Table_5b[#All],COLUMN(F$1)-3,FALSE)</f>
        <v>58.4</v>
      </c>
      <c r="G12" s="54">
        <f>VLOOKUP($B12,Table_5b[#All],COLUMN(G$1)-3,FALSE)</f>
        <v>58.3</v>
      </c>
      <c r="H12" s="54">
        <f>VLOOKUP($B12,Table_5b[#All],COLUMN(H$1)-3,FALSE)</f>
        <v>66.3</v>
      </c>
      <c r="I12" s="54">
        <f>VLOOKUP($B12,Table_5b[#All],COLUMN(I$1)-3,FALSE)</f>
        <v>58</v>
      </c>
      <c r="J12" s="54">
        <f>VLOOKUP($B12,Table_5b[#All],COLUMN(J$1)-3,FALSE)</f>
        <v>42.4</v>
      </c>
      <c r="K12" s="54">
        <f>VLOOKUP($B12,Table_5b[#All],COLUMN(K$1)-3,FALSE)</f>
        <v>63.5</v>
      </c>
      <c r="L12" s="62"/>
    </row>
    <row r="13" spans="1:21">
      <c r="A13" t="str">
        <f>LEFT(Table_5b!$A$1,8)</f>
        <v>Table 5b</v>
      </c>
      <c r="B13" t="str">
        <f>Table_5b!A6</f>
        <v>April 2021 to March 2022</v>
      </c>
      <c r="C13" s="54" t="str">
        <f t="shared" si="0"/>
        <v>2021-22</v>
      </c>
      <c r="D13" s="61" t="s">
        <v>121</v>
      </c>
      <c r="E13" s="54">
        <f>VLOOKUP($B13,Table_5b[#All],COLUMN(E$1)-3,FALSE)</f>
        <v>68.099999999999994</v>
      </c>
      <c r="F13" s="54">
        <f>VLOOKUP($B13,Table_5b[#All],COLUMN(F$1)-3,FALSE)</f>
        <v>62.1</v>
      </c>
      <c r="G13" s="54">
        <f>VLOOKUP($B13,Table_5b[#All],COLUMN(G$1)-3,FALSE)</f>
        <v>66.7</v>
      </c>
      <c r="H13" s="54">
        <f>VLOOKUP($B13,Table_5b[#All],COLUMN(H$1)-3,FALSE)</f>
        <v>73.8</v>
      </c>
      <c r="I13" s="54">
        <f>VLOOKUP($B13,Table_5b[#All],COLUMN(I$1)-3,FALSE)</f>
        <v>72.099999999999994</v>
      </c>
      <c r="J13" s="54">
        <f>VLOOKUP($B13,Table_5b[#All],COLUMN(J$1)-3,FALSE)</f>
        <v>63.4</v>
      </c>
      <c r="K13" s="54">
        <f>VLOOKUP($B13,Table_5b[#All],COLUMN(K$1)-3,FALSE)</f>
        <v>73.7</v>
      </c>
      <c r="L13" s="62"/>
    </row>
    <row r="14" spans="1:21">
      <c r="A14" t="str">
        <f>LEFT(Table_5b!$A$1,8)</f>
        <v>Table 5b</v>
      </c>
      <c r="B14" t="str">
        <f>Table_5b!A7</f>
        <v>April 2022 to March 2023</v>
      </c>
      <c r="C14" s="54" t="str">
        <f t="shared" si="0"/>
        <v>2022-23</v>
      </c>
      <c r="D14" s="61" t="s">
        <v>121</v>
      </c>
      <c r="E14" s="54">
        <f>VLOOKUP($B14,Table_5b[#All],COLUMN(E$1)-3,FALSE)</f>
        <v>70</v>
      </c>
      <c r="F14" s="54">
        <f>VLOOKUP($B14,Table_5b[#All],COLUMN(F$1)-3,FALSE)</f>
        <v>70.2</v>
      </c>
      <c r="G14" s="54">
        <f>VLOOKUP($B14,Table_5b[#All],COLUMN(G$1)-3,FALSE)</f>
        <v>78.900000000000006</v>
      </c>
      <c r="H14" s="54">
        <f>VLOOKUP($B14,Table_5b[#All],COLUMN(H$1)-3,FALSE)</f>
        <v>68.3</v>
      </c>
      <c r="I14" s="54">
        <f>VLOOKUP($B14,Table_5b[#All],COLUMN(I$1)-3,FALSE)</f>
        <v>75.599999999999994</v>
      </c>
      <c r="J14" s="54">
        <f>VLOOKUP($B14,Table_5b[#All],COLUMN(J$1)-3,FALSE)</f>
        <v>61.5</v>
      </c>
      <c r="K14" s="54">
        <f>VLOOKUP($B14,Table_5b[#All],COLUMN(K$1)-3,FALSE)</f>
        <v>79.7</v>
      </c>
      <c r="L14" s="62"/>
    </row>
    <row r="15" spans="1:21">
      <c r="A15" t="str">
        <f>LEFT(Table_5b!$A$1,8)</f>
        <v>Table 5b</v>
      </c>
      <c r="B15" t="str">
        <f>Table_5b!A8</f>
        <v>April 2023 to March 2024</v>
      </c>
      <c r="C15" s="54" t="str">
        <f t="shared" ref="C15" si="2">IF(ISNUMBER(SEARCH("2015",B15)),"2015-16",IF(ISNUMBER(SEARCH("2016",B15)),"2016-17",IF(ISNUMBER(SEARCH("2017",B15)),"2017-18",IF(ISNUMBER(SEARCH("2018",B15)),"2018-19",IF(ISNUMBER(SEARCH("2019",B15)),"2019-20",IF(ISNUMBER(SEARCH("2020",B15)),"2020-21",IF(ISNUMBER(SEARCH("2021",B15)),"2021-22",IF(ISNUMBER(SEARCH("2022",B15)),"2022-23",IF(ISNUMBER(SEARCH("2023",B15)),"2023-24",IF(ISNUMBER(SEARCH("2024",B15)),"2024-25",IF(ISNUMBER(SEARCH("2025",B15)),"2025-26","")))))))))))</f>
        <v>2023-24</v>
      </c>
      <c r="D15" s="61" t="s">
        <v>121</v>
      </c>
      <c r="E15" s="54">
        <f>VLOOKUP($B15,Table_5b[#All],COLUMN(E$1)-3,FALSE)</f>
        <v>71.099999999999994</v>
      </c>
      <c r="F15" s="54">
        <f>VLOOKUP($B15,Table_5b[#All],COLUMN(F$1)-3,FALSE)</f>
        <v>73.5</v>
      </c>
      <c r="G15" s="54">
        <f>VLOOKUP($B15,Table_5b[#All],COLUMN(G$1)-3,FALSE)</f>
        <v>81.099999999999994</v>
      </c>
      <c r="H15" s="54">
        <f>VLOOKUP($B15,Table_5b[#All],COLUMN(H$1)-3,FALSE)</f>
        <v>70.5</v>
      </c>
      <c r="I15" s="54">
        <f>VLOOKUP($B15,Table_5b[#All],COLUMN(I$1)-3,FALSE)</f>
        <v>78.8</v>
      </c>
      <c r="J15" s="54">
        <f>VLOOKUP($B15,Table_5b[#All],COLUMN(J$1)-3,FALSE)</f>
        <v>59.8</v>
      </c>
      <c r="K15" s="54">
        <f>VLOOKUP($B15,Table_5b[#All],COLUMN(K$1)-3,FALSE)</f>
        <v>78.3</v>
      </c>
      <c r="L15" s="62"/>
    </row>
    <row r="16" spans="1:21" ht="15.5">
      <c r="A16" t="str">
        <f>LEFT(Table_5c!$A$1,8)</f>
        <v>Table 5c</v>
      </c>
      <c r="B16" t="str">
        <f>Table_5c!A4</f>
        <v>April 2020 to March 2021</v>
      </c>
      <c r="C16" s="54" t="str">
        <f t="shared" si="0"/>
        <v>2020-21</v>
      </c>
      <c r="D16" s="61" t="s">
        <v>122</v>
      </c>
      <c r="E16" s="59">
        <f>VLOOKUP($B16,Table_5c[#All],COLUMN(E$1)-3,FALSE)</f>
        <v>1.3078703703703705E-3</v>
      </c>
      <c r="F16" s="59">
        <f>VLOOKUP($B16,Table_5c[#All],COLUMN(F$1)-3,FALSE)</f>
        <v>1.6087962962962963E-3</v>
      </c>
      <c r="G16" s="59">
        <f>VLOOKUP($B16,Table_5c[#All],COLUMN(G$1)-3,FALSE)</f>
        <v>1.0879629629629629E-3</v>
      </c>
      <c r="H16" s="59">
        <f>VLOOKUP($B16,Table_5c[#All],COLUMN(H$1)-3,FALSE)</f>
        <v>1.25E-3</v>
      </c>
      <c r="I16" s="59">
        <f>VLOOKUP($B16,Table_5c[#All],COLUMN(I$1)-3,FALSE)</f>
        <v>1.3078703703703705E-3</v>
      </c>
      <c r="J16" s="59">
        <f>VLOOKUP($B16,Table_5c[#All],COLUMN(J$1)-3,FALSE)</f>
        <v>1.4930555555555556E-3</v>
      </c>
      <c r="K16" s="59">
        <f>VLOOKUP($B16,Table_5c[#All],COLUMN(K$1)-3,FALSE)</f>
        <v>1.1921296296296296E-3</v>
      </c>
      <c r="L16" s="62"/>
      <c r="N16" s="20"/>
      <c r="O16" s="20"/>
      <c r="P16" s="20"/>
      <c r="Q16" s="20"/>
      <c r="R16" s="20"/>
      <c r="S16" s="20"/>
      <c r="T16" s="20"/>
      <c r="U16" s="20"/>
    </row>
    <row r="17" spans="1:21" ht="15.5">
      <c r="A17" t="str">
        <f>LEFT(Table_5c!$A$1,8)</f>
        <v>Table 5c</v>
      </c>
      <c r="B17" t="str">
        <f>Table_5c!A5</f>
        <v>April 2021 to March 2022</v>
      </c>
      <c r="C17" s="54" t="str">
        <f t="shared" si="0"/>
        <v>2021-22</v>
      </c>
      <c r="D17" s="61" t="s">
        <v>122</v>
      </c>
      <c r="E17" s="59">
        <f>VLOOKUP($B17,Table_5c[#All],COLUMN(E$1)-3,FALSE)</f>
        <v>1.5162037037037036E-3</v>
      </c>
      <c r="F17" s="59">
        <f>VLOOKUP($B17,Table_5c[#All],COLUMN(F$1)-3,FALSE)</f>
        <v>2.1990740740740742E-3</v>
      </c>
      <c r="G17" s="59">
        <f>VLOOKUP($B17,Table_5c[#All],COLUMN(G$1)-3,FALSE)</f>
        <v>1.2152777777777778E-3</v>
      </c>
      <c r="H17" s="59">
        <f>VLOOKUP($B17,Table_5c[#All],COLUMN(H$1)-3,FALSE)</f>
        <v>9.9537037037037042E-4</v>
      </c>
      <c r="I17" s="59">
        <f>VLOOKUP($B17,Table_5c[#All],COLUMN(I$1)-3,FALSE)</f>
        <v>1.3078703703703705E-3</v>
      </c>
      <c r="J17" s="59">
        <f>VLOOKUP($B17,Table_5c[#All],COLUMN(J$1)-3,FALSE)</f>
        <v>1.4351851851851854E-3</v>
      </c>
      <c r="K17" s="59">
        <f>VLOOKUP($B17,Table_5c[#All],COLUMN(K$1)-3,FALSE)</f>
        <v>1.8865740740740742E-3</v>
      </c>
      <c r="L17" s="62"/>
      <c r="N17" s="20"/>
      <c r="O17" s="20"/>
      <c r="P17" s="20"/>
      <c r="Q17" s="20"/>
      <c r="R17" s="20"/>
      <c r="S17" s="20"/>
      <c r="T17" s="20"/>
      <c r="U17" s="20"/>
    </row>
    <row r="18" spans="1:21" ht="15.5">
      <c r="A18" t="str">
        <f>LEFT(Table_5c!$A$1,8)</f>
        <v>Table 5c</v>
      </c>
      <c r="B18" t="str">
        <f>Table_5c!A6</f>
        <v>April 2022 to March 2023</v>
      </c>
      <c r="C18" s="54" t="str">
        <f t="shared" si="0"/>
        <v>2022-23</v>
      </c>
      <c r="D18" s="61" t="s">
        <v>122</v>
      </c>
      <c r="E18" s="59">
        <f>VLOOKUP($B18,Table_5c[#All],COLUMN(E$1)-3,FALSE)</f>
        <v>1.6203703703703703E-3</v>
      </c>
      <c r="F18" s="59">
        <f>VLOOKUP($B18,Table_5c[#All],COLUMN(F$1)-3,FALSE)</f>
        <v>1.7939814814814815E-3</v>
      </c>
      <c r="G18" s="59">
        <f>VLOOKUP($B18,Table_5c[#All],COLUMN(G$1)-3,FALSE)</f>
        <v>1.4120370370370369E-3</v>
      </c>
      <c r="H18" s="59">
        <f>VLOOKUP($B18,Table_5c[#All],COLUMN(H$1)-3,FALSE)</f>
        <v>1.8055555555555557E-3</v>
      </c>
      <c r="I18" s="59">
        <f>VLOOKUP($B18,Table_5c[#All],COLUMN(I$1)-3,FALSE)</f>
        <v>1.3888888888888889E-3</v>
      </c>
      <c r="J18" s="59">
        <f>VLOOKUP($B18,Table_5c[#All],COLUMN(J$1)-3,FALSE)</f>
        <v>1.3888888888888889E-3</v>
      </c>
      <c r="K18" s="59">
        <f>VLOOKUP($B18,Table_5c[#All],COLUMN(K$1)-3,FALSE)</f>
        <v>1.8402777777777777E-3</v>
      </c>
      <c r="L18" s="62"/>
      <c r="N18" s="20"/>
      <c r="O18" s="20"/>
      <c r="P18" s="20"/>
      <c r="Q18" s="20"/>
      <c r="R18" s="20"/>
      <c r="S18" s="20"/>
      <c r="T18" s="20"/>
      <c r="U18" s="20"/>
    </row>
    <row r="19" spans="1:21" ht="15.5">
      <c r="A19" t="str">
        <f>LEFT(Table_5c!$A$1,8)</f>
        <v>Table 5c</v>
      </c>
      <c r="B19" t="str">
        <f>Table_5c!A7</f>
        <v>April 2023 to March 2024</v>
      </c>
      <c r="C19" s="54" t="str">
        <f t="shared" ref="C19" si="3">IF(ISNUMBER(SEARCH("2015",B19)),"2015-16",IF(ISNUMBER(SEARCH("2016",B19)),"2016-17",IF(ISNUMBER(SEARCH("2017",B19)),"2017-18",IF(ISNUMBER(SEARCH("2018",B19)),"2018-19",IF(ISNUMBER(SEARCH("2019",B19)),"2019-20",IF(ISNUMBER(SEARCH("2020",B19)),"2020-21",IF(ISNUMBER(SEARCH("2021",B19)),"2021-22",IF(ISNUMBER(SEARCH("2022",B19)),"2022-23",IF(ISNUMBER(SEARCH("2023",B19)),"2023-24",IF(ISNUMBER(SEARCH("2024",B19)),"2024-25",IF(ISNUMBER(SEARCH("2025",B19)),"2025-26","")))))))))))</f>
        <v>2023-24</v>
      </c>
      <c r="D19" s="61" t="s">
        <v>122</v>
      </c>
      <c r="E19" s="59">
        <f>VLOOKUP($B19,Table_5c[#All],COLUMN(E$1)-3,FALSE)</f>
        <v>1.6550925925925926E-3</v>
      </c>
      <c r="F19" s="59">
        <f>VLOOKUP($B19,Table_5c[#All],COLUMN(F$1)-3,FALSE)</f>
        <v>1.724537037037037E-3</v>
      </c>
      <c r="G19" s="59">
        <f>VLOOKUP($B19,Table_5c[#All],COLUMN(G$1)-3,FALSE)</f>
        <v>1.6782407407407408E-3</v>
      </c>
      <c r="H19" s="59">
        <f>VLOOKUP($B19,Table_5c[#All],COLUMN(H$1)-3,FALSE)</f>
        <v>1.7708333333333332E-3</v>
      </c>
      <c r="I19" s="59">
        <f>VLOOKUP($B19,Table_5c[#All],COLUMN(I$1)-3,FALSE)</f>
        <v>1.4351851851851852E-3</v>
      </c>
      <c r="J19" s="59">
        <f>VLOOKUP($B19,Table_5c[#All],COLUMN(J$1)-3,FALSE)</f>
        <v>1.5972222222222223E-3</v>
      </c>
      <c r="K19" s="59">
        <f>VLOOKUP($B19,Table_5c[#All],COLUMN(K$1)-3,FALSE)</f>
        <v>1.6550925925925926E-3</v>
      </c>
      <c r="L19" s="62"/>
      <c r="N19" s="20"/>
      <c r="O19" s="20"/>
      <c r="P19" s="20"/>
      <c r="Q19" s="20"/>
      <c r="R19" s="20"/>
      <c r="S19" s="20"/>
      <c r="T19" s="20"/>
      <c r="U19" s="20"/>
    </row>
    <row r="20" spans="1:21">
      <c r="A20" t="str">
        <f>LEFT(Table_5d!$A$1,8)</f>
        <v>Table 5d</v>
      </c>
      <c r="B20" t="str">
        <f>Table_5d!A4</f>
        <v>April 2020 to March 2021</v>
      </c>
      <c r="C20" s="54" t="str">
        <f t="shared" si="0"/>
        <v>2020-21</v>
      </c>
      <c r="D20" s="61" t="s">
        <v>123</v>
      </c>
      <c r="E20" s="54">
        <f>VLOOKUP($B20,Table_5d[#All],COLUMN(E$1)-3,FALSE)</f>
        <v>98.5</v>
      </c>
      <c r="F20" s="54">
        <f>VLOOKUP($B20,Table_5d[#All],COLUMN(F$1)-3,FALSE)</f>
        <v>99.1</v>
      </c>
      <c r="G20" s="54">
        <f>VLOOKUP($B20,Table_5d[#All],COLUMN(G$1)-3,FALSE)</f>
        <v>98.9</v>
      </c>
      <c r="H20" s="54">
        <f>VLOOKUP($B20,Table_5d[#All],COLUMN(H$1)-3,FALSE)</f>
        <v>98.1</v>
      </c>
      <c r="I20" s="54">
        <f>VLOOKUP($B20,Table_5d[#All],COLUMN(I$1)-3,FALSE)</f>
        <v>97.899999999999991</v>
      </c>
      <c r="J20" s="54">
        <f>VLOOKUP($B20,Table_5d[#All],COLUMN(J$1)-3,FALSE)</f>
        <v>98.8</v>
      </c>
      <c r="K20" s="54">
        <f>VLOOKUP($B20,Table_5d[#All],COLUMN(K$1)-3,FALSE)</f>
        <v>98.9</v>
      </c>
      <c r="L20" s="62"/>
    </row>
    <row r="21" spans="1:21">
      <c r="A21" t="str">
        <f>LEFT(Table_5d!$A$1,8)</f>
        <v>Table 5d</v>
      </c>
      <c r="B21" t="str">
        <f>Table_5d!A5</f>
        <v>April 2021 to March 2022 [p]</v>
      </c>
      <c r="C21" s="54" t="str">
        <f t="shared" si="0"/>
        <v>2021-22</v>
      </c>
      <c r="D21" s="61" t="s">
        <v>123</v>
      </c>
      <c r="E21" s="54">
        <f>VLOOKUP($B21,Table_5d[#All],COLUMN(E$1)-3,FALSE)</f>
        <v>98.4</v>
      </c>
      <c r="F21" s="54">
        <f>VLOOKUP($B21,Table_5d[#All],COLUMN(F$1)-3,FALSE)</f>
        <v>98</v>
      </c>
      <c r="G21" s="54">
        <f>VLOOKUP($B21,Table_5d[#All],COLUMN(G$1)-3,FALSE)</f>
        <v>98.4</v>
      </c>
      <c r="H21" s="54">
        <f>VLOOKUP($B21,Table_5d[#All],COLUMN(H$1)-3,FALSE)</f>
        <v>97.5</v>
      </c>
      <c r="I21" s="54">
        <f>VLOOKUP($B21,Table_5d[#All],COLUMN(I$1)-3,FALSE)</f>
        <v>98.1</v>
      </c>
      <c r="J21" s="54">
        <f>VLOOKUP($B21,Table_5d[#All],COLUMN(J$1)-3,FALSE)</f>
        <v>98.1</v>
      </c>
      <c r="K21" s="54">
        <f>VLOOKUP($B21,Table_5d[#All],COLUMN(K$1)-3,FALSE)</f>
        <v>98.9</v>
      </c>
      <c r="L21" s="62"/>
    </row>
    <row r="22" spans="1:21">
      <c r="A22" t="str">
        <f>LEFT(Table_5d!$A$1,8)</f>
        <v>Table 5d</v>
      </c>
      <c r="B22" t="str">
        <f>Table_5d!A6</f>
        <v>April 2022 to March 2023</v>
      </c>
      <c r="C22" s="54" t="str">
        <f t="shared" si="0"/>
        <v>2022-23</v>
      </c>
      <c r="D22" s="61" t="s">
        <v>123</v>
      </c>
      <c r="E22" s="54">
        <f>VLOOKUP($B22,Table_5d[#All],COLUMN(E$1)-3,FALSE)</f>
        <v>98.6</v>
      </c>
      <c r="F22" s="54">
        <f>VLOOKUP($B22,Table_5d[#All],COLUMN(F$1)-3,FALSE)</f>
        <v>99</v>
      </c>
      <c r="G22" s="54">
        <f>VLOOKUP($B22,Table_5d[#All],COLUMN(G$1)-3,FALSE)</f>
        <v>98.7</v>
      </c>
      <c r="H22" s="54">
        <f>VLOOKUP($B22,Table_5d[#All],COLUMN(H$1)-3,FALSE)</f>
        <v>98.2</v>
      </c>
      <c r="I22" s="54">
        <f>VLOOKUP($B22,Table_5d[#All],COLUMN(I$1)-3,FALSE)</f>
        <v>98.1</v>
      </c>
      <c r="J22" s="54">
        <f>VLOOKUP($B22,Table_5d[#All],COLUMN(J$1)-3,FALSE)</f>
        <v>98.7</v>
      </c>
      <c r="K22" s="54">
        <f>VLOOKUP($B22,Table_5d[#All],COLUMN(K$1)-3,FALSE)</f>
        <v>98.9</v>
      </c>
      <c r="L22" s="62"/>
    </row>
    <row r="23" spans="1:21">
      <c r="A23" t="str">
        <f>LEFT(Table_5d!$A$1,8)</f>
        <v>Table 5d</v>
      </c>
      <c r="B23" t="str">
        <f>Table_5d!A7</f>
        <v>April 2023 to March 2024 [Note 5]</v>
      </c>
      <c r="C23" s="54" t="str">
        <f t="shared" ref="C23" si="4">IF(ISNUMBER(SEARCH("2015",B23)),"2015-16",IF(ISNUMBER(SEARCH("2016",B23)),"2016-17",IF(ISNUMBER(SEARCH("2017",B23)),"2017-18",IF(ISNUMBER(SEARCH("2018",B23)),"2018-19",IF(ISNUMBER(SEARCH("2019",B23)),"2019-20",IF(ISNUMBER(SEARCH("2020",B23)),"2020-21",IF(ISNUMBER(SEARCH("2021",B23)),"2021-22",IF(ISNUMBER(SEARCH("2022",B23)),"2022-23",IF(ISNUMBER(SEARCH("2023",B23)),"2023-24",IF(ISNUMBER(SEARCH("2024",B23)),"2024-25",IF(ISNUMBER(SEARCH("2025",B23)),"2025-26","")))))))))))</f>
        <v>2023-24</v>
      </c>
      <c r="D23" s="61" t="s">
        <v>123</v>
      </c>
      <c r="E23" s="54">
        <f>VLOOKUP($B23,Table_5d[#All],COLUMN(E$1)-3,FALSE)</f>
        <v>91.9</v>
      </c>
      <c r="F23" s="54">
        <f>VLOOKUP($B23,Table_5d[#All],COLUMN(F$1)-3,FALSE)</f>
        <v>91.2</v>
      </c>
      <c r="G23" s="54">
        <f>VLOOKUP($B23,Table_5d[#All],COLUMN(G$1)-3,FALSE)</f>
        <v>90.9</v>
      </c>
      <c r="H23" s="54">
        <f>VLOOKUP($B23,Table_5d[#All],COLUMN(H$1)-3,FALSE)</f>
        <v>91.7</v>
      </c>
      <c r="I23" s="54">
        <f>VLOOKUP($B23,Table_5d[#All],COLUMN(I$1)-3,FALSE)</f>
        <v>90.2</v>
      </c>
      <c r="J23" s="54">
        <f>VLOOKUP($B23,Table_5d[#All],COLUMN(J$1)-3,FALSE)</f>
        <v>93.3</v>
      </c>
      <c r="K23" s="54">
        <f>VLOOKUP($B23,Table_5d[#All],COLUMN(K$1)-3,FALSE)</f>
        <v>93.7</v>
      </c>
      <c r="L23" s="62"/>
    </row>
    <row r="24" spans="1:21">
      <c r="A24" t="str">
        <f>LEFT(Table_5e!$A$1,8)</f>
        <v>Table 5e</v>
      </c>
      <c r="B24" t="str">
        <f>Table_5e!A4</f>
        <v>April 2020 to March 2021 [Note 1]</v>
      </c>
      <c r="C24" s="54" t="str">
        <f t="shared" si="0"/>
        <v>2020-21</v>
      </c>
      <c r="D24" s="61" t="s">
        <v>124</v>
      </c>
      <c r="E24" s="54">
        <f>VLOOKUP($B24,Table_5e[#All],COLUMN(E$1)-3,FALSE)</f>
        <v>53</v>
      </c>
      <c r="F24" s="54"/>
      <c r="G24" s="54"/>
      <c r="H24" s="54"/>
      <c r="I24" s="54"/>
      <c r="J24" s="54"/>
      <c r="K24" s="54"/>
      <c r="L24" s="62"/>
    </row>
    <row r="25" spans="1:21">
      <c r="A25" t="str">
        <f>LEFT(Table_5e!$A$1,8)</f>
        <v>Table 5e</v>
      </c>
      <c r="B25" t="str">
        <f>Table_5e!A5</f>
        <v>April 2021 to March 2022</v>
      </c>
      <c r="C25" s="54" t="str">
        <f t="shared" si="0"/>
        <v>2021-22</v>
      </c>
      <c r="D25" s="61" t="s">
        <v>124</v>
      </c>
      <c r="E25" s="54">
        <f>VLOOKUP($B25,Table_5e[#All],COLUMN(E$1)-3,FALSE)</f>
        <v>97.2</v>
      </c>
      <c r="F25" s="54">
        <f>VLOOKUP($B25,Table_5e[],COLUMN(F$1)-3,FALSE)</f>
        <v>92</v>
      </c>
      <c r="G25" s="54">
        <f>VLOOKUP($B25,Table_5e[],COLUMN(G$1)-3,FALSE)</f>
        <v>100</v>
      </c>
      <c r="H25" s="54">
        <f>VLOOKUP($B25,Table_5e[],COLUMN(H$1)-3,FALSE)</f>
        <v>100</v>
      </c>
      <c r="I25" s="54">
        <f>VLOOKUP($B25,Table_5e[],COLUMN(I$1)-3,FALSE)</f>
        <v>100</v>
      </c>
      <c r="J25" s="54">
        <f>VLOOKUP($B25,Table_5e[],COLUMN(J$1)-3,FALSE)</f>
        <v>67</v>
      </c>
      <c r="K25" s="54">
        <f>VLOOKUP($B25,Table_5e[],COLUMN(K$1)-3,FALSE)</f>
        <v>100</v>
      </c>
      <c r="L25" s="62"/>
    </row>
    <row r="26" spans="1:21">
      <c r="A26" t="str">
        <f>LEFT(Table_5e!$A$1,8)</f>
        <v>Table 5e</v>
      </c>
      <c r="B26" t="str">
        <f>Table_5e!A6</f>
        <v>April 2022 to March 2023</v>
      </c>
      <c r="C26" s="54" t="str">
        <f t="shared" ref="C26:C27" si="5">IF(ISNUMBER(SEARCH("2015",B26)),"2015-16",IF(ISNUMBER(SEARCH("2016",B26)),"2016-17",IF(ISNUMBER(SEARCH("2017",B26)),"2017-18",IF(ISNUMBER(SEARCH("2018",B26)),"2018-19",IF(ISNUMBER(SEARCH("2019",B26)),"2019-20",IF(ISNUMBER(SEARCH("2020",B26)),"2020-21",IF(ISNUMBER(SEARCH("2021",B26)),"2021-22",IF(ISNUMBER(SEARCH("2022",B26)),"2022-23",IF(ISNUMBER(SEARCH("2023",B26)),"2023-24",IF(ISNUMBER(SEARCH("2024",B26)),"2024-25",IF(ISNUMBER(SEARCH("2025",B26)),"2025-26","")))))))))))</f>
        <v>2022-23</v>
      </c>
      <c r="D26" s="61" t="s">
        <v>124</v>
      </c>
      <c r="E26" s="54">
        <f>VLOOKUP($B26,Table_5e[#All],COLUMN(E$1)-3,FALSE)</f>
        <v>99</v>
      </c>
      <c r="F26" s="54">
        <f>VLOOKUP($B26,Table_5e[],COLUMN(F$1)-3,FALSE)</f>
        <v>100</v>
      </c>
      <c r="G26" s="54">
        <f>VLOOKUP($B26,Table_5e[],COLUMN(G$1)-3,FALSE)</f>
        <v>100</v>
      </c>
      <c r="H26" s="54">
        <f>VLOOKUP($B26,Table_5e[],COLUMN(H$1)-3,FALSE)</f>
        <v>100</v>
      </c>
      <c r="I26" s="54">
        <f>VLOOKUP($B26,Table_5e[],COLUMN(I$1)-3,FALSE)</f>
        <v>100</v>
      </c>
      <c r="J26" s="54">
        <f>VLOOKUP($B26,Table_5e[],COLUMN(J$1)-3,FALSE)</f>
        <v>100</v>
      </c>
      <c r="K26" s="54">
        <f>VLOOKUP($B26,Table_5e[],COLUMN(K$1)-3,FALSE)</f>
        <v>91</v>
      </c>
      <c r="L26" s="62"/>
    </row>
    <row r="27" spans="1:21">
      <c r="A27" t="str">
        <f>LEFT(Table_5e!$A$1,8)</f>
        <v>Table 5e</v>
      </c>
      <c r="B27" t="str">
        <f>Table_5e!A7</f>
        <v>April 2023 to March 2024</v>
      </c>
      <c r="C27" s="54" t="str">
        <f t="shared" si="5"/>
        <v>2023-24</v>
      </c>
      <c r="D27" s="61" t="s">
        <v>124</v>
      </c>
      <c r="E27" s="54">
        <f>VLOOKUP($B27,Table_5e[#All],COLUMN(E$1)-3,FALSE)</f>
        <v>100</v>
      </c>
      <c r="F27" s="54">
        <f>VLOOKUP($B27,Table_5e[],COLUMN(F$1)-3,FALSE)</f>
        <v>100</v>
      </c>
      <c r="G27" s="54">
        <f>VLOOKUP($B27,Table_5e[],COLUMN(G$1)-3,FALSE)</f>
        <v>100</v>
      </c>
      <c r="H27" s="54">
        <f>VLOOKUP($B27,Table_5e[],COLUMN(H$1)-3,FALSE)</f>
        <v>100</v>
      </c>
      <c r="I27" s="54">
        <f>VLOOKUP($B27,Table_5e[],COLUMN(I$1)-3,FALSE)</f>
        <v>100</v>
      </c>
      <c r="J27" s="54">
        <f>VLOOKUP($B27,Table_5e[],COLUMN(J$1)-3,FALSE)</f>
        <v>100</v>
      </c>
      <c r="K27" s="54">
        <f>VLOOKUP($B27,Table_5e[],COLUMN(K$1)-3,FALSE)</f>
        <v>100</v>
      </c>
    </row>
  </sheetData>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Notes </vt:lpstr>
      <vt:lpstr>Table_of_contents</vt:lpstr>
      <vt:lpstr>Table_5a</vt:lpstr>
      <vt:lpstr>Table_5b</vt:lpstr>
      <vt:lpstr>Table_5c</vt:lpstr>
      <vt:lpstr>Table_5d</vt:lpstr>
      <vt:lpstr>Table_5e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Office of Rail and Road</dc:creator>
  <cp:keywords/>
  <dc:description/>
  <cp:lastModifiedBy>Ritchie, Iain</cp:lastModifiedBy>
  <cp:revision/>
  <dcterms:created xsi:type="dcterms:W3CDTF">2021-11-15T13:31:27Z</dcterms:created>
  <dcterms:modified xsi:type="dcterms:W3CDTF">2025-07-18T15:03:36Z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2024-07-19T14:52:18Z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066f0069-efd5-48c5-ba0a-c52dc390cdc7</vt:lpwstr>
  </property>
  <property fmtid="{D5CDD505-2E9C-101B-9397-08002B2CF9AE}" pid="8" name="MSIP_Label_b352ef96-5e05-4e14-bf42-f76c4ba3e2da_ContentBits">
    <vt:lpwstr>0</vt:lpwstr>
  </property>
</Properties>
</file>